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ES-EFIGENIA\Desktop\INFORME PRESUPUESTAL 2023\"/>
    </mc:Choice>
  </mc:AlternateContent>
  <xr:revisionPtr revIDLastSave="0" documentId="13_ncr:1_{C7F6125F-D37B-4B7F-A33C-081C78636A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VIEMBRE 2023" sheetId="33" r:id="rId1"/>
  </sheets>
  <externalReferences>
    <externalReference r:id="rId2"/>
  </externalReferences>
  <definedNames>
    <definedName name="_xlnm.Print_Area" localSheetId="0">'NOVIEMBRE 2023'!$A$4:$T$175</definedName>
    <definedName name="_xlnm.Print_Titles" localSheetId="0">'NOVIEMBRE 2023'!$6:$12</definedName>
  </definedNames>
  <calcPr calcId="181029"/>
</workbook>
</file>

<file path=xl/calcChain.xml><?xml version="1.0" encoding="utf-8"?>
<calcChain xmlns="http://schemas.openxmlformats.org/spreadsheetml/2006/main">
  <c r="T153" i="33" l="1"/>
  <c r="T152" i="33"/>
  <c r="T151" i="33"/>
  <c r="T150" i="33" s="1"/>
  <c r="U150" i="33"/>
  <c r="S150" i="33"/>
  <c r="R150" i="33"/>
  <c r="Q150" i="33"/>
  <c r="P150" i="33"/>
  <c r="O150" i="33"/>
  <c r="N150" i="33"/>
  <c r="M150" i="33"/>
  <c r="L150" i="33"/>
  <c r="K150" i="33"/>
  <c r="J150" i="33"/>
  <c r="I150" i="33"/>
  <c r="H150" i="33"/>
  <c r="G150" i="33"/>
  <c r="T149" i="33"/>
  <c r="I148" i="33"/>
  <c r="T147" i="33"/>
  <c r="S146" i="33"/>
  <c r="S137" i="33" s="1"/>
  <c r="R146" i="33"/>
  <c r="Q146" i="33"/>
  <c r="P146" i="33"/>
  <c r="P137" i="33" s="1"/>
  <c r="O146" i="33"/>
  <c r="N146" i="33"/>
  <c r="M146" i="33"/>
  <c r="M137" i="33" s="1"/>
  <c r="L146" i="33"/>
  <c r="L137" i="33" s="1"/>
  <c r="K146" i="33"/>
  <c r="J146" i="33"/>
  <c r="J139" i="33" s="1"/>
  <c r="H146" i="33"/>
  <c r="G146" i="33"/>
  <c r="G137" i="33" s="1"/>
  <c r="U145" i="33"/>
  <c r="U138" i="33" s="1"/>
  <c r="T145" i="33"/>
  <c r="T144" i="33"/>
  <c r="T143" i="33"/>
  <c r="T142" i="33"/>
  <c r="T141" i="33"/>
  <c r="R140" i="33"/>
  <c r="T140" i="33" s="1"/>
  <c r="G139" i="33"/>
  <c r="Q138" i="33"/>
  <c r="P138" i="33"/>
  <c r="O138" i="33"/>
  <c r="N138" i="33"/>
  <c r="N137" i="33" s="1"/>
  <c r="M138" i="33"/>
  <c r="L138" i="33"/>
  <c r="K138" i="33"/>
  <c r="J138" i="33"/>
  <c r="J137" i="33" s="1"/>
  <c r="H138" i="33"/>
  <c r="G138" i="33"/>
  <c r="Q137" i="33"/>
  <c r="H137" i="33"/>
  <c r="T136" i="33"/>
  <c r="T135" i="33"/>
  <c r="S134" i="33"/>
  <c r="S129" i="33" s="1"/>
  <c r="R134" i="33"/>
  <c r="R129" i="33" s="1"/>
  <c r="Q134" i="33"/>
  <c r="O134" i="33"/>
  <c r="N134" i="33"/>
  <c r="U133" i="33"/>
  <c r="T133" i="33"/>
  <c r="R132" i="33"/>
  <c r="Q132" i="33"/>
  <c r="Q129" i="33" s="1"/>
  <c r="L132" i="33"/>
  <c r="L129" i="33" s="1"/>
  <c r="K132" i="33"/>
  <c r="I132" i="33"/>
  <c r="O131" i="33"/>
  <c r="N131" i="33"/>
  <c r="N129" i="33" s="1"/>
  <c r="K131" i="33"/>
  <c r="J131" i="33"/>
  <c r="I131" i="33"/>
  <c r="U130" i="33"/>
  <c r="T130" i="33"/>
  <c r="P129" i="33"/>
  <c r="O129" i="33"/>
  <c r="M129" i="33"/>
  <c r="K129" i="33"/>
  <c r="J129" i="33"/>
  <c r="I129" i="33"/>
  <c r="H129" i="33"/>
  <c r="G129" i="33"/>
  <c r="T127" i="33"/>
  <c r="U127" i="33" s="1"/>
  <c r="U126" i="33" s="1"/>
  <c r="U125" i="33" s="1"/>
  <c r="S126" i="33"/>
  <c r="R126" i="33"/>
  <c r="R125" i="33" s="1"/>
  <c r="Q126" i="33"/>
  <c r="Q125" i="33" s="1"/>
  <c r="P126" i="33"/>
  <c r="P125" i="33" s="1"/>
  <c r="O126" i="33"/>
  <c r="O125" i="33" s="1"/>
  <c r="N126" i="33"/>
  <c r="N125" i="33" s="1"/>
  <c r="M126" i="33"/>
  <c r="M125" i="33" s="1"/>
  <c r="L126" i="33"/>
  <c r="K126" i="33"/>
  <c r="J126" i="33"/>
  <c r="J125" i="33" s="1"/>
  <c r="I126" i="33"/>
  <c r="I125" i="33" s="1"/>
  <c r="H126" i="33"/>
  <c r="H125" i="33" s="1"/>
  <c r="G126" i="33"/>
  <c r="S125" i="33"/>
  <c r="L125" i="33"/>
  <c r="K125" i="33"/>
  <c r="G125" i="33"/>
  <c r="T123" i="33"/>
  <c r="U123" i="33" s="1"/>
  <c r="T122" i="33"/>
  <c r="T121" i="33"/>
  <c r="U121" i="33" s="1"/>
  <c r="T120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T117" i="33"/>
  <c r="T116" i="33" s="1"/>
  <c r="U116" i="33"/>
  <c r="S116" i="33"/>
  <c r="R116" i="33"/>
  <c r="Q116" i="33"/>
  <c r="P116" i="33"/>
  <c r="O116" i="33"/>
  <c r="N116" i="33"/>
  <c r="M116" i="33"/>
  <c r="L116" i="33"/>
  <c r="K116" i="33"/>
  <c r="J116" i="33"/>
  <c r="I116" i="33"/>
  <c r="T114" i="33"/>
  <c r="T113" i="33"/>
  <c r="T112" i="33" s="1"/>
  <c r="G113" i="33"/>
  <c r="G112" i="33" s="1"/>
  <c r="G111" i="33" s="1"/>
  <c r="U112" i="33"/>
  <c r="J112" i="33"/>
  <c r="I112" i="33"/>
  <c r="S109" i="33"/>
  <c r="S107" i="33" s="1"/>
  <c r="R109" i="33"/>
  <c r="Q109" i="33"/>
  <c r="P109" i="33"/>
  <c r="P107" i="33" s="1"/>
  <c r="O109" i="33"/>
  <c r="O107" i="33" s="1"/>
  <c r="N109" i="33"/>
  <c r="M109" i="33"/>
  <c r="L109" i="33"/>
  <c r="L107" i="33" s="1"/>
  <c r="K109" i="33"/>
  <c r="K107" i="33" s="1"/>
  <c r="J109" i="33"/>
  <c r="I109" i="33"/>
  <c r="U108" i="33"/>
  <c r="T108" i="33"/>
  <c r="R107" i="33"/>
  <c r="Q107" i="33"/>
  <c r="N107" i="33"/>
  <c r="M107" i="33"/>
  <c r="J107" i="33"/>
  <c r="I107" i="33"/>
  <c r="H107" i="33"/>
  <c r="G107" i="33"/>
  <c r="S105" i="33"/>
  <c r="R105" i="33"/>
  <c r="R100" i="33" s="1"/>
  <c r="R92" i="33" s="1"/>
  <c r="Q105" i="33"/>
  <c r="Q100" i="33" s="1"/>
  <c r="Q92" i="33" s="1"/>
  <c r="P105" i="33"/>
  <c r="O105" i="33"/>
  <c r="N105" i="33"/>
  <c r="N100" i="33" s="1"/>
  <c r="N92" i="33" s="1"/>
  <c r="M105" i="33"/>
  <c r="M100" i="33" s="1"/>
  <c r="L105" i="33"/>
  <c r="L100" i="33" s="1"/>
  <c r="K105" i="33"/>
  <c r="K100" i="33" s="1"/>
  <c r="K92" i="33" s="1"/>
  <c r="J105" i="33"/>
  <c r="J100" i="33" s="1"/>
  <c r="J92" i="33" s="1"/>
  <c r="I105" i="33"/>
  <c r="H105" i="33"/>
  <c r="H100" i="33" s="1"/>
  <c r="T104" i="33"/>
  <c r="U104" i="33" s="1"/>
  <c r="T103" i="33"/>
  <c r="I103" i="33"/>
  <c r="T102" i="33"/>
  <c r="U102" i="33" s="1"/>
  <c r="T101" i="33"/>
  <c r="U101" i="33" s="1"/>
  <c r="S100" i="33"/>
  <c r="S92" i="33" s="1"/>
  <c r="P100" i="33"/>
  <c r="P92" i="33" s="1"/>
  <c r="O100" i="33"/>
  <c r="O92" i="33" s="1"/>
  <c r="G100" i="33"/>
  <c r="G92" i="33" s="1"/>
  <c r="T99" i="33"/>
  <c r="T98" i="33"/>
  <c r="U98" i="33" s="1"/>
  <c r="T97" i="33"/>
  <c r="U97" i="33" s="1"/>
  <c r="U96" i="33" s="1"/>
  <c r="H97" i="33"/>
  <c r="N96" i="33"/>
  <c r="M96" i="33"/>
  <c r="L96" i="33"/>
  <c r="K96" i="33"/>
  <c r="J96" i="33"/>
  <c r="I96" i="33"/>
  <c r="H96" i="33"/>
  <c r="G96" i="33"/>
  <c r="T94" i="33"/>
  <c r="U93" i="33"/>
  <c r="T93" i="33"/>
  <c r="T91" i="33"/>
  <c r="T90" i="33"/>
  <c r="U90" i="33" s="1"/>
  <c r="R90" i="33"/>
  <c r="R84" i="33" s="1"/>
  <c r="Q90" i="33"/>
  <c r="P90" i="33"/>
  <c r="U89" i="33"/>
  <c r="T89" i="33"/>
  <c r="I88" i="33"/>
  <c r="J88" i="33" s="1"/>
  <c r="J85" i="33" s="1"/>
  <c r="J87" i="33"/>
  <c r="T87" i="33" s="1"/>
  <c r="U86" i="33"/>
  <c r="T86" i="33"/>
  <c r="N85" i="33"/>
  <c r="M85" i="33"/>
  <c r="L85" i="33"/>
  <c r="K85" i="33"/>
  <c r="H85" i="33"/>
  <c r="G85" i="33"/>
  <c r="G84" i="33" s="1"/>
  <c r="S84" i="33"/>
  <c r="Q84" i="33"/>
  <c r="P84" i="33"/>
  <c r="O84" i="33"/>
  <c r="N84" i="33"/>
  <c r="M84" i="33"/>
  <c r="L84" i="33"/>
  <c r="K84" i="33"/>
  <c r="H84" i="33"/>
  <c r="T82" i="33"/>
  <c r="U81" i="33"/>
  <c r="T81" i="33"/>
  <c r="T80" i="33"/>
  <c r="S79" i="33"/>
  <c r="R79" i="33"/>
  <c r="Q79" i="33"/>
  <c r="P79" i="33"/>
  <c r="O79" i="33"/>
  <c r="N79" i="33"/>
  <c r="M79" i="33"/>
  <c r="L79" i="33"/>
  <c r="K79" i="33"/>
  <c r="J79" i="33"/>
  <c r="I79" i="33"/>
  <c r="H79" i="33"/>
  <c r="G79" i="33"/>
  <c r="U76" i="33"/>
  <c r="T76" i="33"/>
  <c r="T75" i="33"/>
  <c r="U75" i="33" s="1"/>
  <c r="U74" i="33"/>
  <c r="T74" i="33"/>
  <c r="S73" i="33"/>
  <c r="R73" i="33"/>
  <c r="Q73" i="33"/>
  <c r="Q70" i="33" s="1"/>
  <c r="P73" i="33"/>
  <c r="O73" i="33"/>
  <c r="N73" i="33"/>
  <c r="M73" i="33"/>
  <c r="L73" i="33"/>
  <c r="K73" i="33"/>
  <c r="J73" i="33"/>
  <c r="I73" i="33"/>
  <c r="I70" i="33" s="1"/>
  <c r="H73" i="33"/>
  <c r="G73" i="33"/>
  <c r="S71" i="33"/>
  <c r="R71" i="33"/>
  <c r="Q71" i="33"/>
  <c r="P71" i="33"/>
  <c r="O71" i="33"/>
  <c r="N71" i="33"/>
  <c r="M71" i="33"/>
  <c r="L71" i="33"/>
  <c r="K71" i="33"/>
  <c r="J71" i="33"/>
  <c r="I71" i="33"/>
  <c r="P70" i="33"/>
  <c r="M70" i="33"/>
  <c r="L70" i="33"/>
  <c r="H70" i="33"/>
  <c r="G70" i="33"/>
  <c r="U69" i="33"/>
  <c r="T68" i="33"/>
  <c r="U68" i="33" s="1"/>
  <c r="O67" i="33"/>
  <c r="O66" i="33" s="1"/>
  <c r="N67" i="33"/>
  <c r="N66" i="33" s="1"/>
  <c r="M67" i="33"/>
  <c r="M66" i="33" s="1"/>
  <c r="K67" i="33"/>
  <c r="J67" i="33"/>
  <c r="J66" i="33" s="1"/>
  <c r="I67" i="33"/>
  <c r="S66" i="33"/>
  <c r="R66" i="33"/>
  <c r="Q66" i="33"/>
  <c r="P66" i="33"/>
  <c r="L66" i="33"/>
  <c r="K66" i="33"/>
  <c r="H66" i="33"/>
  <c r="G66" i="33"/>
  <c r="U65" i="33"/>
  <c r="U64" i="33"/>
  <c r="T64" i="33"/>
  <c r="Q63" i="33"/>
  <c r="P63" i="33"/>
  <c r="P62" i="33" s="1"/>
  <c r="O63" i="33"/>
  <c r="N63" i="33"/>
  <c r="N62" i="33" s="1"/>
  <c r="M63" i="33"/>
  <c r="M62" i="33" s="1"/>
  <c r="L63" i="33"/>
  <c r="L62" i="33" s="1"/>
  <c r="K63" i="33"/>
  <c r="K62" i="33" s="1"/>
  <c r="J63" i="33"/>
  <c r="J62" i="33" s="1"/>
  <c r="I63" i="33"/>
  <c r="I62" i="33" s="1"/>
  <c r="S62" i="33"/>
  <c r="R62" i="33"/>
  <c r="Q62" i="33"/>
  <c r="O62" i="33"/>
  <c r="H62" i="33"/>
  <c r="G62" i="33"/>
  <c r="R60" i="33"/>
  <c r="Q60" i="33"/>
  <c r="M60" i="33"/>
  <c r="T60" i="33" s="1"/>
  <c r="U60" i="33" s="1"/>
  <c r="T59" i="33"/>
  <c r="U59" i="33" s="1"/>
  <c r="S58" i="33"/>
  <c r="R58" i="33"/>
  <c r="Q58" i="33"/>
  <c r="P58" i="33"/>
  <c r="O58" i="33"/>
  <c r="N58" i="33"/>
  <c r="L58" i="33"/>
  <c r="K58" i="33"/>
  <c r="J58" i="33"/>
  <c r="I58" i="33"/>
  <c r="H58" i="33"/>
  <c r="G58" i="33"/>
  <c r="U56" i="33"/>
  <c r="U55" i="33" s="1"/>
  <c r="T56" i="33"/>
  <c r="T55" i="33" s="1"/>
  <c r="S55" i="33"/>
  <c r="S50" i="33" s="1"/>
  <c r="R55" i="33"/>
  <c r="Q55" i="33"/>
  <c r="P55" i="33"/>
  <c r="O55" i="33"/>
  <c r="N55" i="33"/>
  <c r="M55" i="33"/>
  <c r="L55" i="33"/>
  <c r="K55" i="33"/>
  <c r="J55" i="33"/>
  <c r="I55" i="33"/>
  <c r="H55" i="33"/>
  <c r="G55" i="33"/>
  <c r="G50" i="33" s="1"/>
  <c r="K53" i="33"/>
  <c r="T53" i="33" s="1"/>
  <c r="T52" i="33"/>
  <c r="R51" i="33"/>
  <c r="Q51" i="33"/>
  <c r="P51" i="33"/>
  <c r="P50" i="33" s="1"/>
  <c r="O51" i="33"/>
  <c r="N51" i="33"/>
  <c r="M51" i="33"/>
  <c r="M50" i="33" s="1"/>
  <c r="L51" i="33"/>
  <c r="L50" i="33" s="1"/>
  <c r="K51" i="33"/>
  <c r="J51" i="33"/>
  <c r="I51" i="33"/>
  <c r="I50" i="33" s="1"/>
  <c r="Q50" i="33"/>
  <c r="H50" i="33"/>
  <c r="T48" i="33"/>
  <c r="T47" i="33"/>
  <c r="U47" i="33" s="1"/>
  <c r="T46" i="33"/>
  <c r="U46" i="33" s="1"/>
  <c r="T45" i="33"/>
  <c r="U45" i="33" s="1"/>
  <c r="N45" i="33"/>
  <c r="N44" i="33" s="1"/>
  <c r="J45" i="33"/>
  <c r="S44" i="33"/>
  <c r="R44" i="33"/>
  <c r="Q44" i="33"/>
  <c r="P44" i="33"/>
  <c r="O44" i="33"/>
  <c r="M44" i="33"/>
  <c r="L44" i="33"/>
  <c r="K44" i="33"/>
  <c r="J44" i="33"/>
  <c r="I44" i="33"/>
  <c r="H44" i="33"/>
  <c r="G44" i="33"/>
  <c r="T43" i="33"/>
  <c r="I42" i="33"/>
  <c r="T42" i="33" s="1"/>
  <c r="U42" i="33" s="1"/>
  <c r="I41" i="33"/>
  <c r="I40" i="33" s="1"/>
  <c r="S40" i="33"/>
  <c r="R40" i="33"/>
  <c r="Q40" i="33"/>
  <c r="P40" i="33"/>
  <c r="O40" i="33"/>
  <c r="N40" i="33"/>
  <c r="M40" i="33"/>
  <c r="L40" i="33"/>
  <c r="K40" i="33"/>
  <c r="J40" i="33"/>
  <c r="G40" i="33"/>
  <c r="T38" i="33"/>
  <c r="T37" i="33"/>
  <c r="T36" i="33"/>
  <c r="U36" i="33" s="1"/>
  <c r="U33" i="33" s="1"/>
  <c r="U32" i="33" s="1"/>
  <c r="T35" i="33"/>
  <c r="T34" i="33"/>
  <c r="T33" i="33"/>
  <c r="T32" i="33" s="1"/>
  <c r="S33" i="33"/>
  <c r="S32" i="33" s="1"/>
  <c r="R33" i="33"/>
  <c r="Q33" i="33"/>
  <c r="P33" i="33"/>
  <c r="P32" i="33" s="1"/>
  <c r="O33" i="33"/>
  <c r="O32" i="33" s="1"/>
  <c r="N33" i="33"/>
  <c r="M33" i="33"/>
  <c r="M32" i="33" s="1"/>
  <c r="L33" i="33"/>
  <c r="L32" i="33" s="1"/>
  <c r="K33" i="33"/>
  <c r="K32" i="33" s="1"/>
  <c r="J33" i="33"/>
  <c r="I33" i="33"/>
  <c r="H33" i="33"/>
  <c r="H32" i="33" s="1"/>
  <c r="G33" i="33"/>
  <c r="G32" i="33" s="1"/>
  <c r="R32" i="33"/>
  <c r="Q32" i="33"/>
  <c r="N32" i="33"/>
  <c r="J32" i="33"/>
  <c r="I32" i="33"/>
  <c r="T30" i="33"/>
  <c r="T29" i="33"/>
  <c r="T28" i="33"/>
  <c r="T27" i="33"/>
  <c r="U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T25" i="33"/>
  <c r="U24" i="33"/>
  <c r="U23" i="33" s="1"/>
  <c r="T24" i="33"/>
  <c r="T23" i="33" s="1"/>
  <c r="S23" i="33"/>
  <c r="R23" i="33"/>
  <c r="Q23" i="33"/>
  <c r="P23" i="33"/>
  <c r="O23" i="33"/>
  <c r="N23" i="33"/>
  <c r="M23" i="33"/>
  <c r="M14" i="33" s="1"/>
  <c r="L23" i="33"/>
  <c r="K23" i="33"/>
  <c r="J23" i="33"/>
  <c r="I23" i="33"/>
  <c r="H23" i="33"/>
  <c r="G23" i="33"/>
  <c r="T22" i="33"/>
  <c r="I21" i="33"/>
  <c r="T20" i="33"/>
  <c r="S19" i="33"/>
  <c r="Q19" i="33"/>
  <c r="P19" i="33"/>
  <c r="P18" i="33" s="1"/>
  <c r="O19" i="33"/>
  <c r="N19" i="33"/>
  <c r="N18" i="33" s="1"/>
  <c r="M19" i="33"/>
  <c r="L19" i="33"/>
  <c r="L18" i="33" s="1"/>
  <c r="K19" i="33"/>
  <c r="J19" i="33"/>
  <c r="J18" i="33" s="1"/>
  <c r="I19" i="33"/>
  <c r="S18" i="33"/>
  <c r="S14" i="33" s="1"/>
  <c r="S13" i="33" s="1"/>
  <c r="R18" i="33"/>
  <c r="Q18" i="33"/>
  <c r="O18" i="33"/>
  <c r="O14" i="33" s="1"/>
  <c r="O13" i="33" s="1"/>
  <c r="M18" i="33"/>
  <c r="H18" i="33"/>
  <c r="G18" i="33"/>
  <c r="T16" i="33"/>
  <c r="U16" i="33" s="1"/>
  <c r="U15" i="33" s="1"/>
  <c r="T15" i="33"/>
  <c r="S15" i="33"/>
  <c r="R15" i="33"/>
  <c r="Q15" i="33"/>
  <c r="P15" i="33"/>
  <c r="O15" i="33"/>
  <c r="N15" i="33"/>
  <c r="M15" i="33"/>
  <c r="L15" i="33"/>
  <c r="K15" i="33"/>
  <c r="J15" i="33"/>
  <c r="I15" i="33"/>
  <c r="H15" i="33"/>
  <c r="H14" i="33" s="1"/>
  <c r="H13" i="33" s="1"/>
  <c r="G15" i="33"/>
  <c r="Q14" i="33"/>
  <c r="Q13" i="33" s="1"/>
  <c r="A5" i="33"/>
  <c r="U58" i="33" l="1"/>
  <c r="O111" i="33"/>
  <c r="M13" i="33"/>
  <c r="U44" i="33"/>
  <c r="L49" i="33"/>
  <c r="L155" i="33" s="1"/>
  <c r="P49" i="33"/>
  <c r="L111" i="33"/>
  <c r="S111" i="33"/>
  <c r="R14" i="33"/>
  <c r="R13" i="33" s="1"/>
  <c r="T44" i="33"/>
  <c r="G49" i="33"/>
  <c r="T71" i="33"/>
  <c r="U71" i="33" s="1"/>
  <c r="J70" i="33"/>
  <c r="N70" i="33"/>
  <c r="R70" i="33"/>
  <c r="Q49" i="33"/>
  <c r="T109" i="33"/>
  <c r="U109" i="33" s="1"/>
  <c r="U107" i="33" s="1"/>
  <c r="J50" i="33"/>
  <c r="N50" i="33"/>
  <c r="R50" i="33"/>
  <c r="T79" i="33"/>
  <c r="I84" i="33"/>
  <c r="L92" i="33"/>
  <c r="M111" i="33"/>
  <c r="Q111" i="33"/>
  <c r="H111" i="33"/>
  <c r="P111" i="33"/>
  <c r="P155" i="33" s="1"/>
  <c r="T126" i="33"/>
  <c r="T125" i="33" s="1"/>
  <c r="L14" i="33"/>
  <c r="L13" i="33" s="1"/>
  <c r="P14" i="33"/>
  <c r="P13" i="33" s="1"/>
  <c r="J14" i="33"/>
  <c r="N14" i="33"/>
  <c r="N13" i="33" s="1"/>
  <c r="T19" i="33"/>
  <c r="T18" i="33" s="1"/>
  <c r="T14" i="33" s="1"/>
  <c r="T26" i="33"/>
  <c r="M58" i="33"/>
  <c r="M49" i="33" s="1"/>
  <c r="M155" i="33" s="1"/>
  <c r="I100" i="33"/>
  <c r="I92" i="33" s="1"/>
  <c r="M92" i="33"/>
  <c r="T132" i="33"/>
  <c r="R138" i="33"/>
  <c r="R137" i="33" s="1"/>
  <c r="R111" i="33" s="1"/>
  <c r="K137" i="33"/>
  <c r="K111" i="33" s="1"/>
  <c r="O137" i="33"/>
  <c r="T107" i="33"/>
  <c r="U53" i="33"/>
  <c r="U19" i="33"/>
  <c r="U18" i="33" s="1"/>
  <c r="U14" i="33" s="1"/>
  <c r="U13" i="33" s="1"/>
  <c r="H92" i="33"/>
  <c r="H49" i="33" s="1"/>
  <c r="H155" i="33" s="1"/>
  <c r="Q155" i="33"/>
  <c r="K18" i="33"/>
  <c r="K14" i="33" s="1"/>
  <c r="K13" i="33" s="1"/>
  <c r="T41" i="33"/>
  <c r="T58" i="33"/>
  <c r="U73" i="33"/>
  <c r="J84" i="33"/>
  <c r="U103" i="33"/>
  <c r="U100" i="33" s="1"/>
  <c r="U92" i="33" s="1"/>
  <c r="J111" i="33"/>
  <c r="N111" i="33"/>
  <c r="U132" i="33"/>
  <c r="T134" i="33"/>
  <c r="I66" i="33"/>
  <c r="T67" i="33"/>
  <c r="I146" i="33"/>
  <c r="I139" i="33" s="1"/>
  <c r="T148" i="33"/>
  <c r="U148" i="33" s="1"/>
  <c r="U146" i="33" s="1"/>
  <c r="I18" i="33"/>
  <c r="I14" i="33" s="1"/>
  <c r="I13" i="33" s="1"/>
  <c r="T21" i="33"/>
  <c r="U21" i="33" s="1"/>
  <c r="N49" i="33"/>
  <c r="R49" i="33"/>
  <c r="K70" i="33"/>
  <c r="O70" i="33"/>
  <c r="S70" i="33"/>
  <c r="S49" i="33" s="1"/>
  <c r="S155" i="33" s="1"/>
  <c r="U87" i="33"/>
  <c r="T96" i="33"/>
  <c r="T131" i="33"/>
  <c r="G14" i="33"/>
  <c r="G13" i="33" s="1"/>
  <c r="G155" i="33" s="1"/>
  <c r="J13" i="33"/>
  <c r="K50" i="33"/>
  <c r="K49" i="33" s="1"/>
  <c r="O50" i="33"/>
  <c r="O49" i="33" s="1"/>
  <c r="T51" i="33"/>
  <c r="T63" i="33"/>
  <c r="T73" i="33"/>
  <c r="T70" i="33" s="1"/>
  <c r="U80" i="33"/>
  <c r="U79" i="33" s="1"/>
  <c r="I85" i="33"/>
  <c r="T88" i="33"/>
  <c r="T105" i="33"/>
  <c r="U105" i="33" s="1"/>
  <c r="T119" i="33"/>
  <c r="U120" i="33"/>
  <c r="U119" i="33" s="1"/>
  <c r="O155" i="33" l="1"/>
  <c r="K155" i="33"/>
  <c r="J49" i="33"/>
  <c r="T100" i="33"/>
  <c r="T92" i="33" s="1"/>
  <c r="T146" i="33"/>
  <c r="I49" i="33"/>
  <c r="U70" i="33"/>
  <c r="T13" i="33"/>
  <c r="J155" i="33"/>
  <c r="T62" i="33"/>
  <c r="U63" i="33"/>
  <c r="U62" i="33" s="1"/>
  <c r="T139" i="33"/>
  <c r="I138" i="33"/>
  <c r="I137" i="33" s="1"/>
  <c r="I111" i="33" s="1"/>
  <c r="I155" i="33" s="1"/>
  <c r="U67" i="33"/>
  <c r="T66" i="33"/>
  <c r="U66" i="33" s="1"/>
  <c r="U131" i="33"/>
  <c r="T129" i="33"/>
  <c r="U41" i="33"/>
  <c r="U40" i="33" s="1"/>
  <c r="T40" i="33"/>
  <c r="U88" i="33"/>
  <c r="U84" i="33" s="1"/>
  <c r="T85" i="33"/>
  <c r="R155" i="33"/>
  <c r="T50" i="33"/>
  <c r="U51" i="33"/>
  <c r="U50" i="33" s="1"/>
  <c r="T84" i="33"/>
  <c r="U134" i="33"/>
  <c r="N155" i="33"/>
  <c r="U85" i="33" l="1"/>
  <c r="T138" i="33"/>
  <c r="T137" i="33" s="1"/>
  <c r="T111" i="33" s="1"/>
  <c r="U139" i="33"/>
  <c r="U137" i="33" s="1"/>
  <c r="U49" i="33"/>
  <c r="T49" i="33"/>
  <c r="U129" i="33"/>
  <c r="U111" i="33" l="1"/>
  <c r="U155" i="33" s="1"/>
  <c r="T155" i="33"/>
</calcChain>
</file>

<file path=xl/sharedStrings.xml><?xml version="1.0" encoding="utf-8"?>
<sst xmlns="http://schemas.openxmlformats.org/spreadsheetml/2006/main" count="161" uniqueCount="141">
  <si>
    <t>(Valores en RD$)</t>
  </si>
  <si>
    <t>Clasificación Presupuestaria</t>
  </si>
  <si>
    <t xml:space="preserve">Presupuesto 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</si>
  <si>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</si>
  <si>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</si>
  <si>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</si>
  <si>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</si>
  <si>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</si>
  <si>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</si>
  <si>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</si>
  <si>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</si>
  <si>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</si>
  <si>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</si>
  <si>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</si>
  <si>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</si>
  <si>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</si>
  <si>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</si>
  <si>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</si>
  <si>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</si>
  <si>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</si>
  <si>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</si>
  <si>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</si>
  <si>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</si>
  <si>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</si>
  <si>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</si>
  <si>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</si>
  <si>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</si>
  <si>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</si>
  <si>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</si>
  <si>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</si>
  <si>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</si>
  <si>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</si>
  <si>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</si>
  <si>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</si>
  <si>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</si>
  <si>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</si>
  <si>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</si>
  <si>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</si>
  <si>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</si>
  <si>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</si>
  <si>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</si>
  <si>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</si>
  <si>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</si>
  <si>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</si>
  <si>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</si>
  <si>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</si>
  <si>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</si>
  <si>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</si>
  <si>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</si>
  <si>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</si>
  <si>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</si>
  <si>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</si>
  <si>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</si>
  <si>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</si>
  <si>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</si>
  <si>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</si>
  <si>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</si>
  <si>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</si>
  <si>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</si>
  <si>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</si>
  <si>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</si>
  <si>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</si>
  <si>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</si>
  <si>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</si>
  <si>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</si>
  <si>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</si>
  <si>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</si>
  <si>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</si>
  <si>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</si>
  <si>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</si>
  <si>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</si>
  <si>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</si>
  <si>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</si>
  <si>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</si>
  <si>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</si>
  <si>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</si>
  <si>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</si>
  <si>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</si>
  <si>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</si>
  <si>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</si>
  <si>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</si>
  <si>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</si>
  <si>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</si>
  <si>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</si>
  <si>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</si>
  <si>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</si>
  <si>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</si>
  <si>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</si>
  <si>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</si>
  <si>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</si>
  <si>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</si>
  <si>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</si>
  <si>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</si>
  <si>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</si>
  <si>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</si>
  <si>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</si>
  <si>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</si>
  <si>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</si>
  <si>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</si>
  <si>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</si>
  <si>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</si>
  <si>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</si>
  <si>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</si>
  <si>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</si>
  <si>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</si>
  <si>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</si>
  <si>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</si>
  <si>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</si>
  <si>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</si>
  <si>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</si>
  <si>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</si>
  <si>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</si>
  <si>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</si>
  <si>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</si>
  <si>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</si>
  <si>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>Presupuesto por ejecutar</t>
  </si>
  <si>
    <t xml:space="preserve"> </t>
  </si>
  <si>
    <t xml:space="preserve">Encargada de Presupuesto </t>
  </si>
  <si>
    <t>Efigenia Acevedo</t>
  </si>
  <si>
    <t>Bienes Intagibles</t>
  </si>
  <si>
    <t>Presupuesto Ene-Dic.2023</t>
  </si>
  <si>
    <t>Presupuesto Complemantario 2023</t>
  </si>
  <si>
    <t>Ejecut. Enero,  2023</t>
  </si>
  <si>
    <t>Ejecut. Febrero,  2023</t>
  </si>
  <si>
    <t>Ejecut. Marzo,  2023</t>
  </si>
  <si>
    <t>Ejecut. Abril,  2023</t>
  </si>
  <si>
    <t>Ejecut. Mayo,  2023</t>
  </si>
  <si>
    <t>Ejecut. Junio,  2023</t>
  </si>
  <si>
    <t>Ejecut. Julio,  2023</t>
  </si>
  <si>
    <t>Ejecut. Agosto,  2023</t>
  </si>
  <si>
    <t>Ejecut. Septiembre,  2023</t>
  </si>
  <si>
    <t>Ejecut. octubre,  2023</t>
  </si>
  <si>
    <t>TOTAL</t>
  </si>
  <si>
    <t>Servicios especiales de mantenimiento y reparación</t>
  </si>
  <si>
    <t xml:space="preserve">Licencias Informaticas Intelectuales, Industriales </t>
  </si>
  <si>
    <t>Lic. Jóse Ventura</t>
  </si>
  <si>
    <t>Director Administrativo Financiero</t>
  </si>
  <si>
    <t>Rafael Toribio</t>
  </si>
  <si>
    <t>Presidente CES</t>
  </si>
  <si>
    <t>Presupuestados al 30 de noviembre 2023</t>
  </si>
  <si>
    <t>Ejecut. Noviembre,2023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</si>
</sst>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i/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B0F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rgb="FFFF0000"/>
      <name val="Cambria"/>
      <family val="1"/>
      <scheme val="major"/>
    </font>
    <font>
      <sz val="8"/>
      <name val="Calibri"/>
      <family val="2"/>
      <scheme val="minor"/>
    </font>
    <font>
      <b/>
      <sz val="16"/>
      <name val="Cambria"/>
      <family val="1"/>
      <scheme val="major"/>
    </font>
    <font>
      <sz val="11"/>
      <color theme="1"/>
      <name val="Cambria "/>
    </font>
    <font>
      <b/>
      <sz val="11"/>
      <color theme="1"/>
      <name val="Cambria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0" fontId="6" fillId="0" borderId="0" xfId="0" applyFont="1"/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/>
    <xf numFmtId="0" fontId="5" fillId="0" borderId="3" xfId="0" applyFont="1" applyBorder="1" applyAlignment="1">
      <alignment horizontal="center" wrapText="1"/>
    </xf>
    <xf numFmtId="1" fontId="5" fillId="2" borderId="5" xfId="0" applyNumberFormat="1" applyFont="1" applyFill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1" fontId="5" fillId="0" borderId="11" xfId="0" applyNumberFormat="1" applyFont="1" applyBorder="1"/>
    <xf numFmtId="164" fontId="5" fillId="2" borderId="11" xfId="1" applyNumberFormat="1" applyFont="1" applyFill="1" applyBorder="1"/>
    <xf numFmtId="41" fontId="5" fillId="0" borderId="5" xfId="0" applyNumberFormat="1" applyFont="1" applyBorder="1"/>
    <xf numFmtId="164" fontId="5" fillId="2" borderId="5" xfId="1" applyNumberFormat="1" applyFont="1" applyFill="1" applyBorder="1"/>
    <xf numFmtId="41" fontId="8" fillId="0" borderId="5" xfId="0" applyNumberFormat="1" applyFont="1" applyBorder="1"/>
    <xf numFmtId="164" fontId="8" fillId="2" borderId="5" xfId="1" applyNumberFormat="1" applyFont="1" applyFill="1" applyBorder="1"/>
    <xf numFmtId="41" fontId="5" fillId="0" borderId="6" xfId="0" applyNumberFormat="1" applyFont="1" applyBorder="1"/>
    <xf numFmtId="164" fontId="5" fillId="2" borderId="6" xfId="1" applyNumberFormat="1" applyFont="1" applyFill="1" applyBorder="1"/>
    <xf numFmtId="41" fontId="6" fillId="0" borderId="6" xfId="0" applyNumberFormat="1" applyFont="1" applyBorder="1"/>
    <xf numFmtId="164" fontId="6" fillId="2" borderId="6" xfId="1" applyNumberFormat="1" applyFont="1" applyFill="1" applyBorder="1"/>
    <xf numFmtId="41" fontId="6" fillId="0" borderId="0" xfId="0" applyNumberFormat="1" applyFont="1"/>
    <xf numFmtId="0" fontId="8" fillId="0" borderId="9" xfId="0" applyFont="1" applyBorder="1"/>
    <xf numFmtId="41" fontId="8" fillId="0" borderId="8" xfId="0" applyNumberFormat="1" applyFont="1" applyBorder="1"/>
    <xf numFmtId="41" fontId="8" fillId="0" borderId="6" xfId="0" applyNumberFormat="1" applyFont="1" applyBorder="1"/>
    <xf numFmtId="164" fontId="8" fillId="2" borderId="6" xfId="1" applyNumberFormat="1" applyFont="1" applyFill="1" applyBorder="1"/>
    <xf numFmtId="164" fontId="8" fillId="2" borderId="8" xfId="1" applyNumberFormat="1" applyFont="1" applyFill="1" applyBorder="1"/>
    <xf numFmtId="41" fontId="8" fillId="0" borderId="11" xfId="0" applyNumberFormat="1" applyFont="1" applyBorder="1"/>
    <xf numFmtId="164" fontId="5" fillId="2" borderId="8" xfId="1" applyNumberFormat="1" applyFont="1" applyFill="1" applyBorder="1"/>
    <xf numFmtId="164" fontId="8" fillId="2" borderId="11" xfId="1" applyNumberFormat="1" applyFont="1" applyFill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1" fontId="5" fillId="0" borderId="8" xfId="0" applyNumberFormat="1" applyFont="1" applyBorder="1"/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1" xfId="0" applyFont="1" applyBorder="1"/>
    <xf numFmtId="0" fontId="6" fillId="0" borderId="0" xfId="0" applyFont="1" applyAlignment="1">
      <alignment horizontal="center"/>
    </xf>
    <xf numFmtId="1" fontId="6" fillId="2" borderId="0" xfId="0" applyNumberFormat="1" applyFont="1" applyFill="1"/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41" fontId="5" fillId="0" borderId="10" xfId="0" applyNumberFormat="1" applyFont="1" applyBorder="1"/>
    <xf numFmtId="41" fontId="9" fillId="0" borderId="6" xfId="0" applyNumberFormat="1" applyFont="1" applyBorder="1"/>
    <xf numFmtId="0" fontId="10" fillId="0" borderId="0" xfId="0" applyFont="1"/>
    <xf numFmtId="0" fontId="5" fillId="0" borderId="5" xfId="0" applyFont="1" applyBorder="1" applyAlignment="1">
      <alignment horizontal="left"/>
    </xf>
    <xf numFmtId="164" fontId="5" fillId="2" borderId="15" xfId="1" applyNumberFormat="1" applyFont="1" applyFill="1" applyBorder="1"/>
    <xf numFmtId="164" fontId="5" fillId="2" borderId="9" xfId="1" applyNumberFormat="1" applyFont="1" applyFill="1" applyBorder="1"/>
    <xf numFmtId="164" fontId="8" fillId="2" borderId="9" xfId="1" applyNumberFormat="1" applyFont="1" applyFill="1" applyBorder="1"/>
    <xf numFmtId="164" fontId="8" fillId="2" borderId="16" xfId="1" applyNumberFormat="1" applyFont="1" applyFill="1" applyBorder="1"/>
    <xf numFmtId="41" fontId="8" fillId="2" borderId="11" xfId="0" applyNumberFormat="1" applyFont="1" applyFill="1" applyBorder="1"/>
    <xf numFmtId="164" fontId="8" fillId="2" borderId="14" xfId="1" applyNumberFormat="1" applyFont="1" applyFill="1" applyBorder="1"/>
    <xf numFmtId="41" fontId="5" fillId="0" borderId="12" xfId="0" applyNumberFormat="1" applyFont="1" applyBorder="1"/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0" xfId="0" applyFont="1"/>
    <xf numFmtId="1" fontId="11" fillId="2" borderId="0" xfId="0" applyNumberFormat="1" applyFont="1" applyFill="1"/>
    <xf numFmtId="43" fontId="11" fillId="0" borderId="0" xfId="0" applyNumberFormat="1" applyFont="1"/>
    <xf numFmtId="0" fontId="11" fillId="0" borderId="0" xfId="0" applyFont="1" applyAlignment="1">
      <alignment horizontal="center"/>
    </xf>
    <xf numFmtId="41" fontId="11" fillId="0" borderId="0" xfId="0" applyNumberFormat="1" applyFont="1" applyAlignment="1">
      <alignment horizontal="center"/>
    </xf>
    <xf numFmtId="0" fontId="10" fillId="0" borderId="13" xfId="0" applyFont="1" applyBorder="1" applyAlignment="1">
      <alignment horizontal="center"/>
    </xf>
    <xf numFmtId="41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1" fontId="8" fillId="0" borderId="3" xfId="0" applyNumberFormat="1" applyFont="1" applyBorder="1"/>
    <xf numFmtId="164" fontId="8" fillId="2" borderId="0" xfId="1" applyNumberFormat="1" applyFont="1" applyFill="1" applyBorder="1"/>
    <xf numFmtId="164" fontId="5" fillId="2" borderId="13" xfId="1" applyNumberFormat="1" applyFont="1" applyFill="1" applyBorder="1"/>
    <xf numFmtId="164" fontId="10" fillId="0" borderId="0" xfId="0" applyNumberFormat="1" applyFont="1" applyAlignment="1">
      <alignment horizontal="center"/>
    </xf>
    <xf numFmtId="164" fontId="5" fillId="2" borderId="12" xfId="1" applyNumberFormat="1" applyFont="1" applyFill="1" applyBorder="1"/>
    <xf numFmtId="43" fontId="0" fillId="0" borderId="0" xfId="1" applyFont="1"/>
    <xf numFmtId="43" fontId="11" fillId="0" borderId="0" xfId="1" applyFont="1"/>
    <xf numFmtId="164" fontId="8" fillId="2" borderId="15" xfId="1" applyNumberFormat="1" applyFont="1" applyFill="1" applyBorder="1"/>
    <xf numFmtId="43" fontId="0" fillId="2" borderId="0" xfId="1" applyFont="1" applyFill="1"/>
    <xf numFmtId="43" fontId="10" fillId="0" borderId="0" xfId="0" applyNumberFormat="1" applyFont="1" applyAlignment="1">
      <alignment horizontal="center"/>
    </xf>
    <xf numFmtId="4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43" fontId="10" fillId="0" borderId="0" xfId="1" applyFont="1" applyAlignment="1">
      <alignment horizontal="center"/>
    </xf>
    <xf numFmtId="43" fontId="11" fillId="0" borderId="0" xfId="1" applyFont="1" applyAlignment="1">
      <alignment horizontal="center"/>
    </xf>
    <xf numFmtId="0" fontId="8" fillId="0" borderId="9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164" fontId="8" fillId="2" borderId="13" xfId="1" applyNumberFormat="1" applyFont="1" applyFill="1" applyBorder="1"/>
    <xf numFmtId="0" fontId="5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43" fontId="6" fillId="2" borderId="0" xfId="1" applyFont="1" applyFill="1"/>
    <xf numFmtId="41" fontId="12" fillId="0" borderId="0" xfId="0" applyNumberFormat="1" applyFont="1" applyAlignment="1">
      <alignment horizontal="center"/>
    </xf>
    <xf numFmtId="41" fontId="6" fillId="0" borderId="0" xfId="0" applyNumberFormat="1" applyFont="1" applyAlignment="1">
      <alignment horizontal="center"/>
    </xf>
    <xf numFmtId="43" fontId="6" fillId="2" borderId="0" xfId="1" applyFont="1" applyFill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5" fillId="0" borderId="4" xfId="0" applyFont="1" applyBorder="1"/>
    <xf numFmtId="1" fontId="5" fillId="2" borderId="4" xfId="0" applyNumberFormat="1" applyFont="1" applyFill="1" applyBorder="1"/>
    <xf numFmtId="1" fontId="5" fillId="2" borderId="1" xfId="0" applyNumberFormat="1" applyFont="1" applyFill="1" applyBorder="1"/>
    <xf numFmtId="0" fontId="5" fillId="0" borderId="5" xfId="0" applyFont="1" applyBorder="1"/>
    <xf numFmtId="1" fontId="5" fillId="2" borderId="5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41" fontId="5" fillId="0" borderId="8" xfId="0" applyNumberFormat="1" applyFont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center"/>
    </xf>
    <xf numFmtId="164" fontId="5" fillId="2" borderId="7" xfId="1" applyNumberFormat="1" applyFont="1" applyFill="1" applyBorder="1"/>
    <xf numFmtId="41" fontId="8" fillId="2" borderId="5" xfId="0" applyNumberFormat="1" applyFont="1" applyFill="1" applyBorder="1"/>
    <xf numFmtId="164" fontId="5" fillId="2" borderId="18" xfId="1" applyNumberFormat="1" applyFont="1" applyFill="1" applyBorder="1"/>
    <xf numFmtId="164" fontId="6" fillId="2" borderId="7" xfId="1" applyNumberFormat="1" applyFont="1" applyFill="1" applyBorder="1"/>
    <xf numFmtId="164" fontId="6" fillId="0" borderId="6" xfId="1" applyNumberFormat="1" applyFont="1" applyFill="1" applyBorder="1"/>
    <xf numFmtId="164" fontId="8" fillId="2" borderId="7" xfId="1" applyNumberFormat="1" applyFont="1" applyFill="1" applyBorder="1"/>
    <xf numFmtId="164" fontId="8" fillId="2" borderId="18" xfId="1" applyNumberFormat="1" applyFont="1" applyFill="1" applyBorder="1"/>
    <xf numFmtId="164" fontId="5" fillId="2" borderId="3" xfId="1" applyNumberFormat="1" applyFont="1" applyFill="1" applyBorder="1"/>
    <xf numFmtId="164" fontId="8" fillId="2" borderId="3" xfId="1" applyNumberFormat="1" applyFont="1" applyFill="1" applyBorder="1"/>
    <xf numFmtId="164" fontId="8" fillId="2" borderId="12" xfId="1" applyNumberFormat="1" applyFont="1" applyFill="1" applyBorder="1"/>
    <xf numFmtId="164" fontId="5" fillId="2" borderId="10" xfId="1" applyNumberFormat="1" applyFont="1" applyFill="1" applyBorder="1"/>
    <xf numFmtId="164" fontId="5" fillId="2" borderId="17" xfId="1" applyNumberFormat="1" applyFont="1" applyFill="1" applyBorder="1"/>
    <xf numFmtId="164" fontId="8" fillId="0" borderId="6" xfId="1" applyNumberFormat="1" applyFont="1" applyFill="1" applyBorder="1"/>
    <xf numFmtId="164" fontId="8" fillId="0" borderId="5" xfId="1" applyNumberFormat="1" applyFont="1" applyFill="1" applyBorder="1"/>
    <xf numFmtId="41" fontId="5" fillId="2" borderId="5" xfId="0" applyNumberFormat="1" applyFont="1" applyFill="1" applyBorder="1"/>
    <xf numFmtId="41" fontId="5" fillId="0" borderId="3" xfId="0" applyNumberFormat="1" applyFont="1" applyBorder="1"/>
    <xf numFmtId="0" fontId="8" fillId="2" borderId="6" xfId="0" applyFont="1" applyFill="1" applyBorder="1" applyAlignment="1">
      <alignment wrapText="1"/>
    </xf>
    <xf numFmtId="41" fontId="8" fillId="2" borderId="6" xfId="0" applyNumberFormat="1" applyFont="1" applyFill="1" applyBorder="1"/>
    <xf numFmtId="41" fontId="8" fillId="0" borderId="7" xfId="0" applyNumberFormat="1" applyFont="1" applyBorder="1"/>
    <xf numFmtId="41" fontId="5" fillId="0" borderId="18" xfId="0" applyNumberFormat="1" applyFont="1" applyBorder="1"/>
    <xf numFmtId="164" fontId="6" fillId="2" borderId="5" xfId="1" applyNumberFormat="1" applyFont="1" applyFill="1" applyBorder="1"/>
    <xf numFmtId="164" fontId="6" fillId="2" borderId="3" xfId="1" applyNumberFormat="1" applyFont="1" applyFill="1" applyBorder="1"/>
    <xf numFmtId="164" fontId="8" fillId="2" borderId="2" xfId="1" applyNumberFormat="1" applyFont="1" applyFill="1" applyBorder="1"/>
    <xf numFmtId="164" fontId="8" fillId="0" borderId="9" xfId="1" applyNumberFormat="1" applyFont="1" applyFill="1" applyBorder="1"/>
    <xf numFmtId="41" fontId="8" fillId="0" borderId="9" xfId="0" applyNumberFormat="1" applyFont="1" applyBorder="1"/>
    <xf numFmtId="41" fontId="8" fillId="2" borderId="8" xfId="0" applyNumberFormat="1" applyFont="1" applyFill="1" applyBorder="1"/>
    <xf numFmtId="0" fontId="5" fillId="0" borderId="15" xfId="0" applyFont="1" applyBorder="1" applyAlignment="1">
      <alignment horizontal="center" wrapText="1"/>
    </xf>
    <xf numFmtId="43" fontId="6" fillId="2" borderId="0" xfId="1" applyFont="1" applyFill="1" applyBorder="1"/>
    <xf numFmtId="43" fontId="17" fillId="2" borderId="0" xfId="1" applyFont="1" applyFill="1" applyBorder="1"/>
    <xf numFmtId="43" fontId="17" fillId="0" borderId="0" xfId="0" applyNumberFormat="1" applyFont="1"/>
    <xf numFmtId="43" fontId="17" fillId="2" borderId="0" xfId="1" applyFont="1" applyFill="1" applyBorder="1" applyAlignment="1">
      <alignment horizontal="center"/>
    </xf>
    <xf numFmtId="43" fontId="17" fillId="0" borderId="0" xfId="0" applyNumberFormat="1" applyFont="1" applyAlignment="1">
      <alignment horizontal="center"/>
    </xf>
    <xf numFmtId="41" fontId="18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0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1" fillId="2" borderId="0" xfId="1" applyFont="1" applyFill="1" applyBorder="1"/>
    <xf numFmtId="43" fontId="0" fillId="0" borderId="0" xfId="1" applyFont="1" applyBorder="1"/>
    <xf numFmtId="43" fontId="11" fillId="2" borderId="0" xfId="1" applyFont="1" applyFill="1" applyAlignment="1">
      <alignment horizontal="center"/>
    </xf>
    <xf numFmtId="43" fontId="11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3" fontId="11" fillId="2" borderId="0" xfId="1" applyFon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2AF-F17D-4737-9172-0F899A4FB40D}">
  <dimension ref="A1:U251"/>
  <sheetViews>
    <sheetView tabSelected="1" topLeftCell="J136" workbookViewId="0">
      <selection activeCell="L198" sqref="L198"/>
    </sheetView>
  </sheetViews>
  <sheetFormatPr baseColWidth="10" defaultColWidth="11.42578125" defaultRowHeight="15"/>
  <cols>
    <col min="1" max="1" width="4.85546875" bestFit="1" customWidth="1"/>
    <col min="2" max="2" width="5.85546875" bestFit="1" customWidth="1"/>
    <col min="3" max="3" width="7.42578125" bestFit="1" customWidth="1"/>
    <col min="4" max="4" width="5.7109375" customWidth="1"/>
    <col min="5" max="5" width="4.5703125" customWidth="1"/>
    <col min="6" max="6" width="24.85546875" customWidth="1"/>
    <col min="7" max="7" width="16.7109375" customWidth="1"/>
    <col min="8" max="8" width="14.140625" customWidth="1"/>
    <col min="9" max="9" width="14.5703125" style="5" customWidth="1"/>
    <col min="10" max="10" width="13.5703125" style="5" customWidth="1"/>
    <col min="11" max="11" width="13.85546875" style="5" customWidth="1"/>
    <col min="12" max="12" width="14.5703125" style="5" customWidth="1"/>
    <col min="13" max="13" width="15" style="5" customWidth="1"/>
    <col min="14" max="14" width="15.42578125" style="5" customWidth="1"/>
    <col min="15" max="15" width="14.28515625" style="5" customWidth="1"/>
    <col min="16" max="18" width="14.7109375" style="5" customWidth="1"/>
    <col min="19" max="19" width="13.5703125" style="5" customWidth="1"/>
    <col min="20" max="20" width="16.140625" customWidth="1"/>
    <col min="21" max="21" width="2.28515625" hidden="1" customWidth="1"/>
    <col min="199" max="199" width="4.85546875" bestFit="1" customWidth="1"/>
    <col min="200" max="200" width="5.85546875" bestFit="1" customWidth="1"/>
    <col min="201" max="201" width="7.42578125" bestFit="1" customWidth="1"/>
    <col min="202" max="202" width="8.140625" bestFit="1" customWidth="1"/>
    <col min="203" max="203" width="4.5703125" bestFit="1" customWidth="1"/>
    <col min="204" max="204" width="57.5703125" customWidth="1"/>
    <col min="205" max="205" width="14.28515625" customWidth="1"/>
    <col min="206" max="206" width="0.85546875" customWidth="1"/>
    <col min="207" max="207" width="16.5703125" bestFit="1" customWidth="1"/>
    <col min="208" max="208" width="13.42578125" bestFit="1" customWidth="1"/>
    <col min="455" max="455" width="4.85546875" bestFit="1" customWidth="1"/>
    <col min="456" max="456" width="5.85546875" bestFit="1" customWidth="1"/>
    <col min="457" max="457" width="7.42578125" bestFit="1" customWidth="1"/>
    <col min="458" max="458" width="8.140625" bestFit="1" customWidth="1"/>
    <col min="459" max="459" width="4.5703125" bestFit="1" customWidth="1"/>
    <col min="460" max="460" width="57.5703125" customWidth="1"/>
    <col min="461" max="461" width="14.28515625" customWidth="1"/>
    <col min="462" max="462" width="0.85546875" customWidth="1"/>
    <col min="463" max="463" width="16.5703125" bestFit="1" customWidth="1"/>
    <col min="464" max="464" width="13.42578125" bestFit="1" customWidth="1"/>
    <col min="711" max="711" width="4.85546875" bestFit="1" customWidth="1"/>
    <col min="712" max="712" width="5.85546875" bestFit="1" customWidth="1"/>
    <col min="713" max="713" width="7.42578125" bestFit="1" customWidth="1"/>
    <col min="714" max="714" width="8.140625" bestFit="1" customWidth="1"/>
    <col min="715" max="715" width="4.5703125" bestFit="1" customWidth="1"/>
    <col min="716" max="716" width="57.5703125" customWidth="1"/>
    <col min="717" max="717" width="14.28515625" customWidth="1"/>
    <col min="718" max="718" width="0.85546875" customWidth="1"/>
    <col min="719" max="719" width="16.5703125" bestFit="1" customWidth="1"/>
    <col min="720" max="720" width="13.42578125" bestFit="1" customWidth="1"/>
    <col min="967" max="967" width="4.85546875" bestFit="1" customWidth="1"/>
    <col min="968" max="968" width="5.85546875" bestFit="1" customWidth="1"/>
    <col min="969" max="969" width="7.42578125" bestFit="1" customWidth="1"/>
    <col min="970" max="970" width="8.140625" bestFit="1" customWidth="1"/>
    <col min="971" max="971" width="4.5703125" bestFit="1" customWidth="1"/>
    <col min="972" max="972" width="57.5703125" customWidth="1"/>
    <col min="973" max="973" width="14.28515625" customWidth="1"/>
    <col min="974" max="974" width="0.85546875" customWidth="1"/>
    <col min="975" max="975" width="16.5703125" bestFit="1" customWidth="1"/>
    <col min="976" max="976" width="13.42578125" bestFit="1" customWidth="1"/>
    <col min="1223" max="1223" width="4.85546875" bestFit="1" customWidth="1"/>
    <col min="1224" max="1224" width="5.85546875" bestFit="1" customWidth="1"/>
    <col min="1225" max="1225" width="7.42578125" bestFit="1" customWidth="1"/>
    <col min="1226" max="1226" width="8.140625" bestFit="1" customWidth="1"/>
    <col min="1227" max="1227" width="4.5703125" bestFit="1" customWidth="1"/>
    <col min="1228" max="1228" width="57.5703125" customWidth="1"/>
    <col min="1229" max="1229" width="14.28515625" customWidth="1"/>
    <col min="1230" max="1230" width="0.85546875" customWidth="1"/>
    <col min="1231" max="1231" width="16.5703125" bestFit="1" customWidth="1"/>
    <col min="1232" max="1232" width="13.42578125" bestFit="1" customWidth="1"/>
    <col min="1479" max="1479" width="4.85546875" bestFit="1" customWidth="1"/>
    <col min="1480" max="1480" width="5.85546875" bestFit="1" customWidth="1"/>
    <col min="1481" max="1481" width="7.42578125" bestFit="1" customWidth="1"/>
    <col min="1482" max="1482" width="8.140625" bestFit="1" customWidth="1"/>
    <col min="1483" max="1483" width="4.5703125" bestFit="1" customWidth="1"/>
    <col min="1484" max="1484" width="57.5703125" customWidth="1"/>
    <col min="1485" max="1485" width="14.28515625" customWidth="1"/>
    <col min="1486" max="1486" width="0.85546875" customWidth="1"/>
    <col min="1487" max="1487" width="16.5703125" bestFit="1" customWidth="1"/>
    <col min="1488" max="1488" width="13.42578125" bestFit="1" customWidth="1"/>
    <col min="1735" max="1735" width="4.85546875" bestFit="1" customWidth="1"/>
    <col min="1736" max="1736" width="5.85546875" bestFit="1" customWidth="1"/>
    <col min="1737" max="1737" width="7.42578125" bestFit="1" customWidth="1"/>
    <col min="1738" max="1738" width="8.140625" bestFit="1" customWidth="1"/>
    <col min="1739" max="1739" width="4.5703125" bestFit="1" customWidth="1"/>
    <col min="1740" max="1740" width="57.5703125" customWidth="1"/>
    <col min="1741" max="1741" width="14.28515625" customWidth="1"/>
    <col min="1742" max="1742" width="0.85546875" customWidth="1"/>
    <col min="1743" max="1743" width="16.5703125" bestFit="1" customWidth="1"/>
    <col min="1744" max="1744" width="13.42578125" bestFit="1" customWidth="1"/>
    <col min="1991" max="1991" width="4.85546875" bestFit="1" customWidth="1"/>
    <col min="1992" max="1992" width="5.85546875" bestFit="1" customWidth="1"/>
    <col min="1993" max="1993" width="7.42578125" bestFit="1" customWidth="1"/>
    <col min="1994" max="1994" width="8.140625" bestFit="1" customWidth="1"/>
    <col min="1995" max="1995" width="4.5703125" bestFit="1" customWidth="1"/>
    <col min="1996" max="1996" width="57.5703125" customWidth="1"/>
    <col min="1997" max="1997" width="14.28515625" customWidth="1"/>
    <col min="1998" max="1998" width="0.85546875" customWidth="1"/>
    <col min="1999" max="1999" width="16.5703125" bestFit="1" customWidth="1"/>
    <col min="2000" max="2000" width="13.42578125" bestFit="1" customWidth="1"/>
    <col min="2247" max="2247" width="4.85546875" bestFit="1" customWidth="1"/>
    <col min="2248" max="2248" width="5.85546875" bestFit="1" customWidth="1"/>
    <col min="2249" max="2249" width="7.42578125" bestFit="1" customWidth="1"/>
    <col min="2250" max="2250" width="8.140625" bestFit="1" customWidth="1"/>
    <col min="2251" max="2251" width="4.5703125" bestFit="1" customWidth="1"/>
    <col min="2252" max="2252" width="57.5703125" customWidth="1"/>
    <col min="2253" max="2253" width="14.28515625" customWidth="1"/>
    <col min="2254" max="2254" width="0.85546875" customWidth="1"/>
    <col min="2255" max="2255" width="16.5703125" bestFit="1" customWidth="1"/>
    <col min="2256" max="2256" width="13.42578125" bestFit="1" customWidth="1"/>
    <col min="2503" max="2503" width="4.85546875" bestFit="1" customWidth="1"/>
    <col min="2504" max="2504" width="5.85546875" bestFit="1" customWidth="1"/>
    <col min="2505" max="2505" width="7.42578125" bestFit="1" customWidth="1"/>
    <col min="2506" max="2506" width="8.140625" bestFit="1" customWidth="1"/>
    <col min="2507" max="2507" width="4.5703125" bestFit="1" customWidth="1"/>
    <col min="2508" max="2508" width="57.5703125" customWidth="1"/>
    <col min="2509" max="2509" width="14.28515625" customWidth="1"/>
    <col min="2510" max="2510" width="0.85546875" customWidth="1"/>
    <col min="2511" max="2511" width="16.5703125" bestFit="1" customWidth="1"/>
    <col min="2512" max="2512" width="13.42578125" bestFit="1" customWidth="1"/>
    <col min="2759" max="2759" width="4.85546875" bestFit="1" customWidth="1"/>
    <col min="2760" max="2760" width="5.85546875" bestFit="1" customWidth="1"/>
    <col min="2761" max="2761" width="7.42578125" bestFit="1" customWidth="1"/>
    <col min="2762" max="2762" width="8.140625" bestFit="1" customWidth="1"/>
    <col min="2763" max="2763" width="4.5703125" bestFit="1" customWidth="1"/>
    <col min="2764" max="2764" width="57.5703125" customWidth="1"/>
    <col min="2765" max="2765" width="14.28515625" customWidth="1"/>
    <col min="2766" max="2766" width="0.85546875" customWidth="1"/>
    <col min="2767" max="2767" width="16.5703125" bestFit="1" customWidth="1"/>
    <col min="2768" max="2768" width="13.42578125" bestFit="1" customWidth="1"/>
    <col min="3015" max="3015" width="4.85546875" bestFit="1" customWidth="1"/>
    <col min="3016" max="3016" width="5.85546875" bestFit="1" customWidth="1"/>
    <col min="3017" max="3017" width="7.42578125" bestFit="1" customWidth="1"/>
    <col min="3018" max="3018" width="8.140625" bestFit="1" customWidth="1"/>
    <col min="3019" max="3019" width="4.5703125" bestFit="1" customWidth="1"/>
    <col min="3020" max="3020" width="57.5703125" customWidth="1"/>
    <col min="3021" max="3021" width="14.28515625" customWidth="1"/>
    <col min="3022" max="3022" width="0.85546875" customWidth="1"/>
    <col min="3023" max="3023" width="16.5703125" bestFit="1" customWidth="1"/>
    <col min="3024" max="3024" width="13.42578125" bestFit="1" customWidth="1"/>
    <col min="3271" max="3271" width="4.85546875" bestFit="1" customWidth="1"/>
    <col min="3272" max="3272" width="5.85546875" bestFit="1" customWidth="1"/>
    <col min="3273" max="3273" width="7.42578125" bestFit="1" customWidth="1"/>
    <col min="3274" max="3274" width="8.140625" bestFit="1" customWidth="1"/>
    <col min="3275" max="3275" width="4.5703125" bestFit="1" customWidth="1"/>
    <col min="3276" max="3276" width="57.5703125" customWidth="1"/>
    <col min="3277" max="3277" width="14.28515625" customWidth="1"/>
    <col min="3278" max="3278" width="0.85546875" customWidth="1"/>
    <col min="3279" max="3279" width="16.5703125" bestFit="1" customWidth="1"/>
    <col min="3280" max="3280" width="13.42578125" bestFit="1" customWidth="1"/>
    <col min="3527" max="3527" width="4.85546875" bestFit="1" customWidth="1"/>
    <col min="3528" max="3528" width="5.85546875" bestFit="1" customWidth="1"/>
    <col min="3529" max="3529" width="7.42578125" bestFit="1" customWidth="1"/>
    <col min="3530" max="3530" width="8.140625" bestFit="1" customWidth="1"/>
    <col min="3531" max="3531" width="4.5703125" bestFit="1" customWidth="1"/>
    <col min="3532" max="3532" width="57.5703125" customWidth="1"/>
    <col min="3533" max="3533" width="14.28515625" customWidth="1"/>
    <col min="3534" max="3534" width="0.85546875" customWidth="1"/>
    <col min="3535" max="3535" width="16.5703125" bestFit="1" customWidth="1"/>
    <col min="3536" max="3536" width="13.42578125" bestFit="1" customWidth="1"/>
    <col min="3783" max="3783" width="4.85546875" bestFit="1" customWidth="1"/>
    <col min="3784" max="3784" width="5.85546875" bestFit="1" customWidth="1"/>
    <col min="3785" max="3785" width="7.42578125" bestFit="1" customWidth="1"/>
    <col min="3786" max="3786" width="8.140625" bestFit="1" customWidth="1"/>
    <col min="3787" max="3787" width="4.5703125" bestFit="1" customWidth="1"/>
    <col min="3788" max="3788" width="57.5703125" customWidth="1"/>
    <col min="3789" max="3789" width="14.28515625" customWidth="1"/>
    <col min="3790" max="3790" width="0.85546875" customWidth="1"/>
    <col min="3791" max="3791" width="16.5703125" bestFit="1" customWidth="1"/>
    <col min="3792" max="3792" width="13.42578125" bestFit="1" customWidth="1"/>
    <col min="4039" max="4039" width="4.85546875" bestFit="1" customWidth="1"/>
    <col min="4040" max="4040" width="5.85546875" bestFit="1" customWidth="1"/>
    <col min="4041" max="4041" width="7.42578125" bestFit="1" customWidth="1"/>
    <col min="4042" max="4042" width="8.140625" bestFit="1" customWidth="1"/>
    <col min="4043" max="4043" width="4.5703125" bestFit="1" customWidth="1"/>
    <col min="4044" max="4044" width="57.5703125" customWidth="1"/>
    <col min="4045" max="4045" width="14.28515625" customWidth="1"/>
    <col min="4046" max="4046" width="0.85546875" customWidth="1"/>
    <col min="4047" max="4047" width="16.5703125" bestFit="1" customWidth="1"/>
    <col min="4048" max="4048" width="13.42578125" bestFit="1" customWidth="1"/>
    <col min="4295" max="4295" width="4.85546875" bestFit="1" customWidth="1"/>
    <col min="4296" max="4296" width="5.85546875" bestFit="1" customWidth="1"/>
    <col min="4297" max="4297" width="7.42578125" bestFit="1" customWidth="1"/>
    <col min="4298" max="4298" width="8.140625" bestFit="1" customWidth="1"/>
    <col min="4299" max="4299" width="4.5703125" bestFit="1" customWidth="1"/>
    <col min="4300" max="4300" width="57.5703125" customWidth="1"/>
    <col min="4301" max="4301" width="14.28515625" customWidth="1"/>
    <col min="4302" max="4302" width="0.85546875" customWidth="1"/>
    <col min="4303" max="4303" width="16.5703125" bestFit="1" customWidth="1"/>
    <col min="4304" max="4304" width="13.42578125" bestFit="1" customWidth="1"/>
    <col min="4551" max="4551" width="4.85546875" bestFit="1" customWidth="1"/>
    <col min="4552" max="4552" width="5.85546875" bestFit="1" customWidth="1"/>
    <col min="4553" max="4553" width="7.42578125" bestFit="1" customWidth="1"/>
    <col min="4554" max="4554" width="8.140625" bestFit="1" customWidth="1"/>
    <col min="4555" max="4555" width="4.5703125" bestFit="1" customWidth="1"/>
    <col min="4556" max="4556" width="57.5703125" customWidth="1"/>
    <col min="4557" max="4557" width="14.28515625" customWidth="1"/>
    <col min="4558" max="4558" width="0.85546875" customWidth="1"/>
    <col min="4559" max="4559" width="16.5703125" bestFit="1" customWidth="1"/>
    <col min="4560" max="4560" width="13.42578125" bestFit="1" customWidth="1"/>
    <col min="4807" max="4807" width="4.85546875" bestFit="1" customWidth="1"/>
    <col min="4808" max="4808" width="5.85546875" bestFit="1" customWidth="1"/>
    <col min="4809" max="4809" width="7.42578125" bestFit="1" customWidth="1"/>
    <col min="4810" max="4810" width="8.140625" bestFit="1" customWidth="1"/>
    <col min="4811" max="4811" width="4.5703125" bestFit="1" customWidth="1"/>
    <col min="4812" max="4812" width="57.5703125" customWidth="1"/>
    <col min="4813" max="4813" width="14.28515625" customWidth="1"/>
    <col min="4814" max="4814" width="0.85546875" customWidth="1"/>
    <col min="4815" max="4815" width="16.5703125" bestFit="1" customWidth="1"/>
    <col min="4816" max="4816" width="13.42578125" bestFit="1" customWidth="1"/>
    <col min="5063" max="5063" width="4.85546875" bestFit="1" customWidth="1"/>
    <col min="5064" max="5064" width="5.85546875" bestFit="1" customWidth="1"/>
    <col min="5065" max="5065" width="7.42578125" bestFit="1" customWidth="1"/>
    <col min="5066" max="5066" width="8.140625" bestFit="1" customWidth="1"/>
    <col min="5067" max="5067" width="4.5703125" bestFit="1" customWidth="1"/>
    <col min="5068" max="5068" width="57.5703125" customWidth="1"/>
    <col min="5069" max="5069" width="14.28515625" customWidth="1"/>
    <col min="5070" max="5070" width="0.85546875" customWidth="1"/>
    <col min="5071" max="5071" width="16.5703125" bestFit="1" customWidth="1"/>
    <col min="5072" max="5072" width="13.42578125" bestFit="1" customWidth="1"/>
    <col min="5319" max="5319" width="4.85546875" bestFit="1" customWidth="1"/>
    <col min="5320" max="5320" width="5.85546875" bestFit="1" customWidth="1"/>
    <col min="5321" max="5321" width="7.42578125" bestFit="1" customWidth="1"/>
    <col min="5322" max="5322" width="8.140625" bestFit="1" customWidth="1"/>
    <col min="5323" max="5323" width="4.5703125" bestFit="1" customWidth="1"/>
    <col min="5324" max="5324" width="57.5703125" customWidth="1"/>
    <col min="5325" max="5325" width="14.28515625" customWidth="1"/>
    <col min="5326" max="5326" width="0.85546875" customWidth="1"/>
    <col min="5327" max="5327" width="16.5703125" bestFit="1" customWidth="1"/>
    <col min="5328" max="5328" width="13.42578125" bestFit="1" customWidth="1"/>
    <col min="5575" max="5575" width="4.85546875" bestFit="1" customWidth="1"/>
    <col min="5576" max="5576" width="5.85546875" bestFit="1" customWidth="1"/>
    <col min="5577" max="5577" width="7.42578125" bestFit="1" customWidth="1"/>
    <col min="5578" max="5578" width="8.140625" bestFit="1" customWidth="1"/>
    <col min="5579" max="5579" width="4.5703125" bestFit="1" customWidth="1"/>
    <col min="5580" max="5580" width="57.5703125" customWidth="1"/>
    <col min="5581" max="5581" width="14.28515625" customWidth="1"/>
    <col min="5582" max="5582" width="0.85546875" customWidth="1"/>
    <col min="5583" max="5583" width="16.5703125" bestFit="1" customWidth="1"/>
    <col min="5584" max="5584" width="13.42578125" bestFit="1" customWidth="1"/>
    <col min="5831" max="5831" width="4.85546875" bestFit="1" customWidth="1"/>
    <col min="5832" max="5832" width="5.85546875" bestFit="1" customWidth="1"/>
    <col min="5833" max="5833" width="7.42578125" bestFit="1" customWidth="1"/>
    <col min="5834" max="5834" width="8.140625" bestFit="1" customWidth="1"/>
    <col min="5835" max="5835" width="4.5703125" bestFit="1" customWidth="1"/>
    <col min="5836" max="5836" width="57.5703125" customWidth="1"/>
    <col min="5837" max="5837" width="14.28515625" customWidth="1"/>
    <col min="5838" max="5838" width="0.85546875" customWidth="1"/>
    <col min="5839" max="5839" width="16.5703125" bestFit="1" customWidth="1"/>
    <col min="5840" max="5840" width="13.42578125" bestFit="1" customWidth="1"/>
    <col min="6087" max="6087" width="4.85546875" bestFit="1" customWidth="1"/>
    <col min="6088" max="6088" width="5.85546875" bestFit="1" customWidth="1"/>
    <col min="6089" max="6089" width="7.42578125" bestFit="1" customWidth="1"/>
    <col min="6090" max="6090" width="8.140625" bestFit="1" customWidth="1"/>
    <col min="6091" max="6091" width="4.5703125" bestFit="1" customWidth="1"/>
    <col min="6092" max="6092" width="57.5703125" customWidth="1"/>
    <col min="6093" max="6093" width="14.28515625" customWidth="1"/>
    <col min="6094" max="6094" width="0.85546875" customWidth="1"/>
    <col min="6095" max="6095" width="16.5703125" bestFit="1" customWidth="1"/>
    <col min="6096" max="6096" width="13.42578125" bestFit="1" customWidth="1"/>
    <col min="6343" max="6343" width="4.85546875" bestFit="1" customWidth="1"/>
    <col min="6344" max="6344" width="5.85546875" bestFit="1" customWidth="1"/>
    <col min="6345" max="6345" width="7.42578125" bestFit="1" customWidth="1"/>
    <col min="6346" max="6346" width="8.140625" bestFit="1" customWidth="1"/>
    <col min="6347" max="6347" width="4.5703125" bestFit="1" customWidth="1"/>
    <col min="6348" max="6348" width="57.5703125" customWidth="1"/>
    <col min="6349" max="6349" width="14.28515625" customWidth="1"/>
    <col min="6350" max="6350" width="0.85546875" customWidth="1"/>
    <col min="6351" max="6351" width="16.5703125" bestFit="1" customWidth="1"/>
    <col min="6352" max="6352" width="13.42578125" bestFit="1" customWidth="1"/>
    <col min="6599" max="6599" width="4.85546875" bestFit="1" customWidth="1"/>
    <col min="6600" max="6600" width="5.85546875" bestFit="1" customWidth="1"/>
    <col min="6601" max="6601" width="7.42578125" bestFit="1" customWidth="1"/>
    <col min="6602" max="6602" width="8.140625" bestFit="1" customWidth="1"/>
    <col min="6603" max="6603" width="4.5703125" bestFit="1" customWidth="1"/>
    <col min="6604" max="6604" width="57.5703125" customWidth="1"/>
    <col min="6605" max="6605" width="14.28515625" customWidth="1"/>
    <col min="6606" max="6606" width="0.85546875" customWidth="1"/>
    <col min="6607" max="6607" width="16.5703125" bestFit="1" customWidth="1"/>
    <col min="6608" max="6608" width="13.42578125" bestFit="1" customWidth="1"/>
    <col min="6855" max="6855" width="4.85546875" bestFit="1" customWidth="1"/>
    <col min="6856" max="6856" width="5.85546875" bestFit="1" customWidth="1"/>
    <col min="6857" max="6857" width="7.42578125" bestFit="1" customWidth="1"/>
    <col min="6858" max="6858" width="8.140625" bestFit="1" customWidth="1"/>
    <col min="6859" max="6859" width="4.5703125" bestFit="1" customWidth="1"/>
    <col min="6860" max="6860" width="57.5703125" customWidth="1"/>
    <col min="6861" max="6861" width="14.28515625" customWidth="1"/>
    <col min="6862" max="6862" width="0.85546875" customWidth="1"/>
    <col min="6863" max="6863" width="16.5703125" bestFit="1" customWidth="1"/>
    <col min="6864" max="6864" width="13.42578125" bestFit="1" customWidth="1"/>
    <col min="7111" max="7111" width="4.85546875" bestFit="1" customWidth="1"/>
    <col min="7112" max="7112" width="5.85546875" bestFit="1" customWidth="1"/>
    <col min="7113" max="7113" width="7.42578125" bestFit="1" customWidth="1"/>
    <col min="7114" max="7114" width="8.140625" bestFit="1" customWidth="1"/>
    <col min="7115" max="7115" width="4.5703125" bestFit="1" customWidth="1"/>
    <col min="7116" max="7116" width="57.5703125" customWidth="1"/>
    <col min="7117" max="7117" width="14.28515625" customWidth="1"/>
    <col min="7118" max="7118" width="0.85546875" customWidth="1"/>
    <col min="7119" max="7119" width="16.5703125" bestFit="1" customWidth="1"/>
    <col min="7120" max="7120" width="13.42578125" bestFit="1" customWidth="1"/>
    <col min="7367" max="7367" width="4.85546875" bestFit="1" customWidth="1"/>
    <col min="7368" max="7368" width="5.85546875" bestFit="1" customWidth="1"/>
    <col min="7369" max="7369" width="7.42578125" bestFit="1" customWidth="1"/>
    <col min="7370" max="7370" width="8.140625" bestFit="1" customWidth="1"/>
    <col min="7371" max="7371" width="4.5703125" bestFit="1" customWidth="1"/>
    <col min="7372" max="7372" width="57.5703125" customWidth="1"/>
    <col min="7373" max="7373" width="14.28515625" customWidth="1"/>
    <col min="7374" max="7374" width="0.85546875" customWidth="1"/>
    <col min="7375" max="7375" width="16.5703125" bestFit="1" customWidth="1"/>
    <col min="7376" max="7376" width="13.42578125" bestFit="1" customWidth="1"/>
    <col min="7623" max="7623" width="4.85546875" bestFit="1" customWidth="1"/>
    <col min="7624" max="7624" width="5.85546875" bestFit="1" customWidth="1"/>
    <col min="7625" max="7625" width="7.42578125" bestFit="1" customWidth="1"/>
    <col min="7626" max="7626" width="8.140625" bestFit="1" customWidth="1"/>
    <col min="7627" max="7627" width="4.5703125" bestFit="1" customWidth="1"/>
    <col min="7628" max="7628" width="57.5703125" customWidth="1"/>
    <col min="7629" max="7629" width="14.28515625" customWidth="1"/>
    <col min="7630" max="7630" width="0.85546875" customWidth="1"/>
    <col min="7631" max="7631" width="16.5703125" bestFit="1" customWidth="1"/>
    <col min="7632" max="7632" width="13.42578125" bestFit="1" customWidth="1"/>
    <col min="7879" max="7879" width="4.85546875" bestFit="1" customWidth="1"/>
    <col min="7880" max="7880" width="5.85546875" bestFit="1" customWidth="1"/>
    <col min="7881" max="7881" width="7.42578125" bestFit="1" customWidth="1"/>
    <col min="7882" max="7882" width="8.140625" bestFit="1" customWidth="1"/>
    <col min="7883" max="7883" width="4.5703125" bestFit="1" customWidth="1"/>
    <col min="7884" max="7884" width="57.5703125" customWidth="1"/>
    <col min="7885" max="7885" width="14.28515625" customWidth="1"/>
    <col min="7886" max="7886" width="0.85546875" customWidth="1"/>
    <col min="7887" max="7887" width="16.5703125" bestFit="1" customWidth="1"/>
    <col min="7888" max="7888" width="13.42578125" bestFit="1" customWidth="1"/>
    <col min="8135" max="8135" width="4.85546875" bestFit="1" customWidth="1"/>
    <col min="8136" max="8136" width="5.85546875" bestFit="1" customWidth="1"/>
    <col min="8137" max="8137" width="7.42578125" bestFit="1" customWidth="1"/>
    <col min="8138" max="8138" width="8.140625" bestFit="1" customWidth="1"/>
    <col min="8139" max="8139" width="4.5703125" bestFit="1" customWidth="1"/>
    <col min="8140" max="8140" width="57.5703125" customWidth="1"/>
    <col min="8141" max="8141" width="14.28515625" customWidth="1"/>
    <col min="8142" max="8142" width="0.85546875" customWidth="1"/>
    <col min="8143" max="8143" width="16.5703125" bestFit="1" customWidth="1"/>
    <col min="8144" max="8144" width="13.42578125" bestFit="1" customWidth="1"/>
    <col min="8391" max="8391" width="4.85546875" bestFit="1" customWidth="1"/>
    <col min="8392" max="8392" width="5.85546875" bestFit="1" customWidth="1"/>
    <col min="8393" max="8393" width="7.42578125" bestFit="1" customWidth="1"/>
    <col min="8394" max="8394" width="8.140625" bestFit="1" customWidth="1"/>
    <col min="8395" max="8395" width="4.5703125" bestFit="1" customWidth="1"/>
    <col min="8396" max="8396" width="57.5703125" customWidth="1"/>
    <col min="8397" max="8397" width="14.28515625" customWidth="1"/>
    <col min="8398" max="8398" width="0.85546875" customWidth="1"/>
    <col min="8399" max="8399" width="16.5703125" bestFit="1" customWidth="1"/>
    <col min="8400" max="8400" width="13.42578125" bestFit="1" customWidth="1"/>
    <col min="8647" max="8647" width="4.85546875" bestFit="1" customWidth="1"/>
    <col min="8648" max="8648" width="5.85546875" bestFit="1" customWidth="1"/>
    <col min="8649" max="8649" width="7.42578125" bestFit="1" customWidth="1"/>
    <col min="8650" max="8650" width="8.140625" bestFit="1" customWidth="1"/>
    <col min="8651" max="8651" width="4.5703125" bestFit="1" customWidth="1"/>
    <col min="8652" max="8652" width="57.5703125" customWidth="1"/>
    <col min="8653" max="8653" width="14.28515625" customWidth="1"/>
    <col min="8654" max="8654" width="0.85546875" customWidth="1"/>
    <col min="8655" max="8655" width="16.5703125" bestFit="1" customWidth="1"/>
    <col min="8656" max="8656" width="13.42578125" bestFit="1" customWidth="1"/>
    <col min="8903" max="8903" width="4.85546875" bestFit="1" customWidth="1"/>
    <col min="8904" max="8904" width="5.85546875" bestFit="1" customWidth="1"/>
    <col min="8905" max="8905" width="7.42578125" bestFit="1" customWidth="1"/>
    <col min="8906" max="8906" width="8.140625" bestFit="1" customWidth="1"/>
    <col min="8907" max="8907" width="4.5703125" bestFit="1" customWidth="1"/>
    <col min="8908" max="8908" width="57.5703125" customWidth="1"/>
    <col min="8909" max="8909" width="14.28515625" customWidth="1"/>
    <col min="8910" max="8910" width="0.85546875" customWidth="1"/>
    <col min="8911" max="8911" width="16.5703125" bestFit="1" customWidth="1"/>
    <col min="8912" max="8912" width="13.42578125" bestFit="1" customWidth="1"/>
    <col min="9159" max="9159" width="4.85546875" bestFit="1" customWidth="1"/>
    <col min="9160" max="9160" width="5.85546875" bestFit="1" customWidth="1"/>
    <col min="9161" max="9161" width="7.42578125" bestFit="1" customWidth="1"/>
    <col min="9162" max="9162" width="8.140625" bestFit="1" customWidth="1"/>
    <col min="9163" max="9163" width="4.5703125" bestFit="1" customWidth="1"/>
    <col min="9164" max="9164" width="57.5703125" customWidth="1"/>
    <col min="9165" max="9165" width="14.28515625" customWidth="1"/>
    <col min="9166" max="9166" width="0.85546875" customWidth="1"/>
    <col min="9167" max="9167" width="16.5703125" bestFit="1" customWidth="1"/>
    <col min="9168" max="9168" width="13.42578125" bestFit="1" customWidth="1"/>
    <col min="9415" max="9415" width="4.85546875" bestFit="1" customWidth="1"/>
    <col min="9416" max="9416" width="5.85546875" bestFit="1" customWidth="1"/>
    <col min="9417" max="9417" width="7.42578125" bestFit="1" customWidth="1"/>
    <col min="9418" max="9418" width="8.140625" bestFit="1" customWidth="1"/>
    <col min="9419" max="9419" width="4.5703125" bestFit="1" customWidth="1"/>
    <col min="9420" max="9420" width="57.5703125" customWidth="1"/>
    <col min="9421" max="9421" width="14.28515625" customWidth="1"/>
    <col min="9422" max="9422" width="0.85546875" customWidth="1"/>
    <col min="9423" max="9423" width="16.5703125" bestFit="1" customWidth="1"/>
    <col min="9424" max="9424" width="13.42578125" bestFit="1" customWidth="1"/>
    <col min="9671" max="9671" width="4.85546875" bestFit="1" customWidth="1"/>
    <col min="9672" max="9672" width="5.85546875" bestFit="1" customWidth="1"/>
    <col min="9673" max="9673" width="7.42578125" bestFit="1" customWidth="1"/>
    <col min="9674" max="9674" width="8.140625" bestFit="1" customWidth="1"/>
    <col min="9675" max="9675" width="4.5703125" bestFit="1" customWidth="1"/>
    <col min="9676" max="9676" width="57.5703125" customWidth="1"/>
    <col min="9677" max="9677" width="14.28515625" customWidth="1"/>
    <col min="9678" max="9678" width="0.85546875" customWidth="1"/>
    <col min="9679" max="9679" width="16.5703125" bestFit="1" customWidth="1"/>
    <col min="9680" max="9680" width="13.42578125" bestFit="1" customWidth="1"/>
    <col min="9927" max="9927" width="4.85546875" bestFit="1" customWidth="1"/>
    <col min="9928" max="9928" width="5.85546875" bestFit="1" customWidth="1"/>
    <col min="9929" max="9929" width="7.42578125" bestFit="1" customWidth="1"/>
    <col min="9930" max="9930" width="8.140625" bestFit="1" customWidth="1"/>
    <col min="9931" max="9931" width="4.5703125" bestFit="1" customWidth="1"/>
    <col min="9932" max="9932" width="57.5703125" customWidth="1"/>
    <col min="9933" max="9933" width="14.28515625" customWidth="1"/>
    <col min="9934" max="9934" width="0.85546875" customWidth="1"/>
    <col min="9935" max="9935" width="16.5703125" bestFit="1" customWidth="1"/>
    <col min="9936" max="9936" width="13.42578125" bestFit="1" customWidth="1"/>
    <col min="10183" max="10183" width="4.85546875" bestFit="1" customWidth="1"/>
    <col min="10184" max="10184" width="5.85546875" bestFit="1" customWidth="1"/>
    <col min="10185" max="10185" width="7.42578125" bestFit="1" customWidth="1"/>
    <col min="10186" max="10186" width="8.140625" bestFit="1" customWidth="1"/>
    <col min="10187" max="10187" width="4.5703125" bestFit="1" customWidth="1"/>
    <col min="10188" max="10188" width="57.5703125" customWidth="1"/>
    <col min="10189" max="10189" width="14.28515625" customWidth="1"/>
    <col min="10190" max="10190" width="0.85546875" customWidth="1"/>
    <col min="10191" max="10191" width="16.5703125" bestFit="1" customWidth="1"/>
    <col min="10192" max="10192" width="13.42578125" bestFit="1" customWidth="1"/>
    <col min="10439" max="10439" width="4.85546875" bestFit="1" customWidth="1"/>
    <col min="10440" max="10440" width="5.85546875" bestFit="1" customWidth="1"/>
    <col min="10441" max="10441" width="7.42578125" bestFit="1" customWidth="1"/>
    <col min="10442" max="10442" width="8.140625" bestFit="1" customWidth="1"/>
    <col min="10443" max="10443" width="4.5703125" bestFit="1" customWidth="1"/>
    <col min="10444" max="10444" width="57.5703125" customWidth="1"/>
    <col min="10445" max="10445" width="14.28515625" customWidth="1"/>
    <col min="10446" max="10446" width="0.85546875" customWidth="1"/>
    <col min="10447" max="10447" width="16.5703125" bestFit="1" customWidth="1"/>
    <col min="10448" max="10448" width="13.42578125" bestFit="1" customWidth="1"/>
    <col min="10695" max="10695" width="4.85546875" bestFit="1" customWidth="1"/>
    <col min="10696" max="10696" width="5.85546875" bestFit="1" customWidth="1"/>
    <col min="10697" max="10697" width="7.42578125" bestFit="1" customWidth="1"/>
    <col min="10698" max="10698" width="8.140625" bestFit="1" customWidth="1"/>
    <col min="10699" max="10699" width="4.5703125" bestFit="1" customWidth="1"/>
    <col min="10700" max="10700" width="57.5703125" customWidth="1"/>
    <col min="10701" max="10701" width="14.28515625" customWidth="1"/>
    <col min="10702" max="10702" width="0.85546875" customWidth="1"/>
    <col min="10703" max="10703" width="16.5703125" bestFit="1" customWidth="1"/>
    <col min="10704" max="10704" width="13.42578125" bestFit="1" customWidth="1"/>
    <col min="10951" max="10951" width="4.85546875" bestFit="1" customWidth="1"/>
    <col min="10952" max="10952" width="5.85546875" bestFit="1" customWidth="1"/>
    <col min="10953" max="10953" width="7.42578125" bestFit="1" customWidth="1"/>
    <col min="10954" max="10954" width="8.140625" bestFit="1" customWidth="1"/>
    <col min="10955" max="10955" width="4.5703125" bestFit="1" customWidth="1"/>
    <col min="10956" max="10956" width="57.5703125" customWidth="1"/>
    <col min="10957" max="10957" width="14.28515625" customWidth="1"/>
    <col min="10958" max="10958" width="0.85546875" customWidth="1"/>
    <col min="10959" max="10959" width="16.5703125" bestFit="1" customWidth="1"/>
    <col min="10960" max="10960" width="13.42578125" bestFit="1" customWidth="1"/>
    <col min="11207" max="11207" width="4.85546875" bestFit="1" customWidth="1"/>
    <col min="11208" max="11208" width="5.85546875" bestFit="1" customWidth="1"/>
    <col min="11209" max="11209" width="7.42578125" bestFit="1" customWidth="1"/>
    <col min="11210" max="11210" width="8.140625" bestFit="1" customWidth="1"/>
    <col min="11211" max="11211" width="4.5703125" bestFit="1" customWidth="1"/>
    <col min="11212" max="11212" width="57.5703125" customWidth="1"/>
    <col min="11213" max="11213" width="14.28515625" customWidth="1"/>
    <col min="11214" max="11214" width="0.85546875" customWidth="1"/>
    <col min="11215" max="11215" width="16.5703125" bestFit="1" customWidth="1"/>
    <col min="11216" max="11216" width="13.42578125" bestFit="1" customWidth="1"/>
    <col min="11463" max="11463" width="4.85546875" bestFit="1" customWidth="1"/>
    <col min="11464" max="11464" width="5.85546875" bestFit="1" customWidth="1"/>
    <col min="11465" max="11465" width="7.42578125" bestFit="1" customWidth="1"/>
    <col min="11466" max="11466" width="8.140625" bestFit="1" customWidth="1"/>
    <col min="11467" max="11467" width="4.5703125" bestFit="1" customWidth="1"/>
    <col min="11468" max="11468" width="57.5703125" customWidth="1"/>
    <col min="11469" max="11469" width="14.28515625" customWidth="1"/>
    <col min="11470" max="11470" width="0.85546875" customWidth="1"/>
    <col min="11471" max="11471" width="16.5703125" bestFit="1" customWidth="1"/>
    <col min="11472" max="11472" width="13.42578125" bestFit="1" customWidth="1"/>
    <col min="11719" max="11719" width="4.85546875" bestFit="1" customWidth="1"/>
    <col min="11720" max="11720" width="5.85546875" bestFit="1" customWidth="1"/>
    <col min="11721" max="11721" width="7.42578125" bestFit="1" customWidth="1"/>
    <col min="11722" max="11722" width="8.140625" bestFit="1" customWidth="1"/>
    <col min="11723" max="11723" width="4.5703125" bestFit="1" customWidth="1"/>
    <col min="11724" max="11724" width="57.5703125" customWidth="1"/>
    <col min="11725" max="11725" width="14.28515625" customWidth="1"/>
    <col min="11726" max="11726" width="0.85546875" customWidth="1"/>
    <col min="11727" max="11727" width="16.5703125" bestFit="1" customWidth="1"/>
    <col min="11728" max="11728" width="13.42578125" bestFit="1" customWidth="1"/>
    <col min="11975" max="11975" width="4.85546875" bestFit="1" customWidth="1"/>
    <col min="11976" max="11976" width="5.85546875" bestFit="1" customWidth="1"/>
    <col min="11977" max="11977" width="7.42578125" bestFit="1" customWidth="1"/>
    <col min="11978" max="11978" width="8.140625" bestFit="1" customWidth="1"/>
    <col min="11979" max="11979" width="4.5703125" bestFit="1" customWidth="1"/>
    <col min="11980" max="11980" width="57.5703125" customWidth="1"/>
    <col min="11981" max="11981" width="14.28515625" customWidth="1"/>
    <col min="11982" max="11982" width="0.85546875" customWidth="1"/>
    <col min="11983" max="11983" width="16.5703125" bestFit="1" customWidth="1"/>
    <col min="11984" max="11984" width="13.42578125" bestFit="1" customWidth="1"/>
    <col min="12231" max="12231" width="4.85546875" bestFit="1" customWidth="1"/>
    <col min="12232" max="12232" width="5.85546875" bestFit="1" customWidth="1"/>
    <col min="12233" max="12233" width="7.42578125" bestFit="1" customWidth="1"/>
    <col min="12234" max="12234" width="8.140625" bestFit="1" customWidth="1"/>
    <col min="12235" max="12235" width="4.5703125" bestFit="1" customWidth="1"/>
    <col min="12236" max="12236" width="57.5703125" customWidth="1"/>
    <col min="12237" max="12237" width="14.28515625" customWidth="1"/>
    <col min="12238" max="12238" width="0.85546875" customWidth="1"/>
    <col min="12239" max="12239" width="16.5703125" bestFit="1" customWidth="1"/>
    <col min="12240" max="12240" width="13.42578125" bestFit="1" customWidth="1"/>
    <col min="12487" max="12487" width="4.85546875" bestFit="1" customWidth="1"/>
    <col min="12488" max="12488" width="5.85546875" bestFit="1" customWidth="1"/>
    <col min="12489" max="12489" width="7.42578125" bestFit="1" customWidth="1"/>
    <col min="12490" max="12490" width="8.140625" bestFit="1" customWidth="1"/>
    <col min="12491" max="12491" width="4.5703125" bestFit="1" customWidth="1"/>
    <col min="12492" max="12492" width="57.5703125" customWidth="1"/>
    <col min="12493" max="12493" width="14.28515625" customWidth="1"/>
    <col min="12494" max="12494" width="0.85546875" customWidth="1"/>
    <col min="12495" max="12495" width="16.5703125" bestFit="1" customWidth="1"/>
    <col min="12496" max="12496" width="13.42578125" bestFit="1" customWidth="1"/>
    <col min="12743" max="12743" width="4.85546875" bestFit="1" customWidth="1"/>
    <col min="12744" max="12744" width="5.85546875" bestFit="1" customWidth="1"/>
    <col min="12745" max="12745" width="7.42578125" bestFit="1" customWidth="1"/>
    <col min="12746" max="12746" width="8.140625" bestFit="1" customWidth="1"/>
    <col min="12747" max="12747" width="4.5703125" bestFit="1" customWidth="1"/>
    <col min="12748" max="12748" width="57.5703125" customWidth="1"/>
    <col min="12749" max="12749" width="14.28515625" customWidth="1"/>
    <col min="12750" max="12750" width="0.85546875" customWidth="1"/>
    <col min="12751" max="12751" width="16.5703125" bestFit="1" customWidth="1"/>
    <col min="12752" max="12752" width="13.42578125" bestFit="1" customWidth="1"/>
    <col min="12999" max="12999" width="4.85546875" bestFit="1" customWidth="1"/>
    <col min="13000" max="13000" width="5.85546875" bestFit="1" customWidth="1"/>
    <col min="13001" max="13001" width="7.42578125" bestFit="1" customWidth="1"/>
    <col min="13002" max="13002" width="8.140625" bestFit="1" customWidth="1"/>
    <col min="13003" max="13003" width="4.5703125" bestFit="1" customWidth="1"/>
    <col min="13004" max="13004" width="57.5703125" customWidth="1"/>
    <col min="13005" max="13005" width="14.28515625" customWidth="1"/>
    <col min="13006" max="13006" width="0.85546875" customWidth="1"/>
    <col min="13007" max="13007" width="16.5703125" bestFit="1" customWidth="1"/>
    <col min="13008" max="13008" width="13.42578125" bestFit="1" customWidth="1"/>
    <col min="13255" max="13255" width="4.85546875" bestFit="1" customWidth="1"/>
    <col min="13256" max="13256" width="5.85546875" bestFit="1" customWidth="1"/>
    <col min="13257" max="13257" width="7.42578125" bestFit="1" customWidth="1"/>
    <col min="13258" max="13258" width="8.140625" bestFit="1" customWidth="1"/>
    <col min="13259" max="13259" width="4.5703125" bestFit="1" customWidth="1"/>
    <col min="13260" max="13260" width="57.5703125" customWidth="1"/>
    <col min="13261" max="13261" width="14.28515625" customWidth="1"/>
    <col min="13262" max="13262" width="0.85546875" customWidth="1"/>
    <col min="13263" max="13263" width="16.5703125" bestFit="1" customWidth="1"/>
    <col min="13264" max="13264" width="13.42578125" bestFit="1" customWidth="1"/>
    <col min="13511" max="13511" width="4.85546875" bestFit="1" customWidth="1"/>
    <col min="13512" max="13512" width="5.85546875" bestFit="1" customWidth="1"/>
    <col min="13513" max="13513" width="7.42578125" bestFit="1" customWidth="1"/>
    <col min="13514" max="13514" width="8.140625" bestFit="1" customWidth="1"/>
    <col min="13515" max="13515" width="4.5703125" bestFit="1" customWidth="1"/>
    <col min="13516" max="13516" width="57.5703125" customWidth="1"/>
    <col min="13517" max="13517" width="14.28515625" customWidth="1"/>
    <col min="13518" max="13518" width="0.85546875" customWidth="1"/>
    <col min="13519" max="13519" width="16.5703125" bestFit="1" customWidth="1"/>
    <col min="13520" max="13520" width="13.42578125" bestFit="1" customWidth="1"/>
    <col min="13767" max="13767" width="4.85546875" bestFit="1" customWidth="1"/>
    <col min="13768" max="13768" width="5.85546875" bestFit="1" customWidth="1"/>
    <col min="13769" max="13769" width="7.42578125" bestFit="1" customWidth="1"/>
    <col min="13770" max="13770" width="8.140625" bestFit="1" customWidth="1"/>
    <col min="13771" max="13771" width="4.5703125" bestFit="1" customWidth="1"/>
    <col min="13772" max="13772" width="57.5703125" customWidth="1"/>
    <col min="13773" max="13773" width="14.28515625" customWidth="1"/>
    <col min="13774" max="13774" width="0.85546875" customWidth="1"/>
    <col min="13775" max="13775" width="16.5703125" bestFit="1" customWidth="1"/>
    <col min="13776" max="13776" width="13.42578125" bestFit="1" customWidth="1"/>
    <col min="14023" max="14023" width="4.85546875" bestFit="1" customWidth="1"/>
    <col min="14024" max="14024" width="5.85546875" bestFit="1" customWidth="1"/>
    <col min="14025" max="14025" width="7.42578125" bestFit="1" customWidth="1"/>
    <col min="14026" max="14026" width="8.140625" bestFit="1" customWidth="1"/>
    <col min="14027" max="14027" width="4.5703125" bestFit="1" customWidth="1"/>
    <col min="14028" max="14028" width="57.5703125" customWidth="1"/>
    <col min="14029" max="14029" width="14.28515625" customWidth="1"/>
    <col min="14030" max="14030" width="0.85546875" customWidth="1"/>
    <col min="14031" max="14031" width="16.5703125" bestFit="1" customWidth="1"/>
    <col min="14032" max="14032" width="13.42578125" bestFit="1" customWidth="1"/>
    <col min="14279" max="14279" width="4.85546875" bestFit="1" customWidth="1"/>
    <col min="14280" max="14280" width="5.85546875" bestFit="1" customWidth="1"/>
    <col min="14281" max="14281" width="7.42578125" bestFit="1" customWidth="1"/>
    <col min="14282" max="14282" width="8.140625" bestFit="1" customWidth="1"/>
    <col min="14283" max="14283" width="4.5703125" bestFit="1" customWidth="1"/>
    <col min="14284" max="14284" width="57.5703125" customWidth="1"/>
    <col min="14285" max="14285" width="14.28515625" customWidth="1"/>
    <col min="14286" max="14286" width="0.85546875" customWidth="1"/>
    <col min="14287" max="14287" width="16.5703125" bestFit="1" customWidth="1"/>
    <col min="14288" max="14288" width="13.42578125" bestFit="1" customWidth="1"/>
    <col min="14535" max="14535" width="4.85546875" bestFit="1" customWidth="1"/>
    <col min="14536" max="14536" width="5.85546875" bestFit="1" customWidth="1"/>
    <col min="14537" max="14537" width="7.42578125" bestFit="1" customWidth="1"/>
    <col min="14538" max="14538" width="8.140625" bestFit="1" customWidth="1"/>
    <col min="14539" max="14539" width="4.5703125" bestFit="1" customWidth="1"/>
    <col min="14540" max="14540" width="57.5703125" customWidth="1"/>
    <col min="14541" max="14541" width="14.28515625" customWidth="1"/>
    <col min="14542" max="14542" width="0.85546875" customWidth="1"/>
    <col min="14543" max="14543" width="16.5703125" bestFit="1" customWidth="1"/>
    <col min="14544" max="14544" width="13.42578125" bestFit="1" customWidth="1"/>
    <col min="14791" max="14791" width="4.85546875" bestFit="1" customWidth="1"/>
    <col min="14792" max="14792" width="5.85546875" bestFit="1" customWidth="1"/>
    <col min="14793" max="14793" width="7.42578125" bestFit="1" customWidth="1"/>
    <col min="14794" max="14794" width="8.140625" bestFit="1" customWidth="1"/>
    <col min="14795" max="14795" width="4.5703125" bestFit="1" customWidth="1"/>
    <col min="14796" max="14796" width="57.5703125" customWidth="1"/>
    <col min="14797" max="14797" width="14.28515625" customWidth="1"/>
    <col min="14798" max="14798" width="0.85546875" customWidth="1"/>
    <col min="14799" max="14799" width="16.5703125" bestFit="1" customWidth="1"/>
    <col min="14800" max="14800" width="13.42578125" bestFit="1" customWidth="1"/>
    <col min="15047" max="15047" width="4.85546875" bestFit="1" customWidth="1"/>
    <col min="15048" max="15048" width="5.85546875" bestFit="1" customWidth="1"/>
    <col min="15049" max="15049" width="7.42578125" bestFit="1" customWidth="1"/>
    <col min="15050" max="15050" width="8.140625" bestFit="1" customWidth="1"/>
    <col min="15051" max="15051" width="4.5703125" bestFit="1" customWidth="1"/>
    <col min="15052" max="15052" width="57.5703125" customWidth="1"/>
    <col min="15053" max="15053" width="14.28515625" customWidth="1"/>
    <col min="15054" max="15054" width="0.85546875" customWidth="1"/>
    <col min="15055" max="15055" width="16.5703125" bestFit="1" customWidth="1"/>
    <col min="15056" max="15056" width="13.42578125" bestFit="1" customWidth="1"/>
    <col min="15303" max="15303" width="4.85546875" bestFit="1" customWidth="1"/>
    <col min="15304" max="15304" width="5.85546875" bestFit="1" customWidth="1"/>
    <col min="15305" max="15305" width="7.42578125" bestFit="1" customWidth="1"/>
    <col min="15306" max="15306" width="8.140625" bestFit="1" customWidth="1"/>
    <col min="15307" max="15307" width="4.5703125" bestFit="1" customWidth="1"/>
    <col min="15308" max="15308" width="57.5703125" customWidth="1"/>
    <col min="15309" max="15309" width="14.28515625" customWidth="1"/>
    <col min="15310" max="15310" width="0.85546875" customWidth="1"/>
    <col min="15311" max="15311" width="16.5703125" bestFit="1" customWidth="1"/>
    <col min="15312" max="15312" width="13.42578125" bestFit="1" customWidth="1"/>
    <col min="15559" max="15559" width="4.85546875" bestFit="1" customWidth="1"/>
    <col min="15560" max="15560" width="5.85546875" bestFit="1" customWidth="1"/>
    <col min="15561" max="15561" width="7.42578125" bestFit="1" customWidth="1"/>
    <col min="15562" max="15562" width="8.140625" bestFit="1" customWidth="1"/>
    <col min="15563" max="15563" width="4.5703125" bestFit="1" customWidth="1"/>
    <col min="15564" max="15564" width="57.5703125" customWidth="1"/>
    <col min="15565" max="15565" width="14.28515625" customWidth="1"/>
    <col min="15566" max="15566" width="0.85546875" customWidth="1"/>
    <col min="15567" max="15567" width="16.5703125" bestFit="1" customWidth="1"/>
    <col min="15568" max="15568" width="13.42578125" bestFit="1" customWidth="1"/>
    <col min="15815" max="15815" width="4.85546875" bestFit="1" customWidth="1"/>
    <col min="15816" max="15816" width="5.85546875" bestFit="1" customWidth="1"/>
    <col min="15817" max="15817" width="7.42578125" bestFit="1" customWidth="1"/>
    <col min="15818" max="15818" width="8.140625" bestFit="1" customWidth="1"/>
    <col min="15819" max="15819" width="4.5703125" bestFit="1" customWidth="1"/>
    <col min="15820" max="15820" width="57.5703125" customWidth="1"/>
    <col min="15821" max="15821" width="14.28515625" customWidth="1"/>
    <col min="15822" max="15822" width="0.85546875" customWidth="1"/>
    <col min="15823" max="15823" width="16.5703125" bestFit="1" customWidth="1"/>
    <col min="15824" max="15824" width="13.42578125" bestFit="1" customWidth="1"/>
    <col min="16071" max="16071" width="4.85546875" bestFit="1" customWidth="1"/>
    <col min="16072" max="16072" width="5.85546875" bestFit="1" customWidth="1"/>
    <col min="16073" max="16073" width="7.42578125" bestFit="1" customWidth="1"/>
    <col min="16074" max="16074" width="8.140625" bestFit="1" customWidth="1"/>
    <col min="16075" max="16075" width="4.5703125" bestFit="1" customWidth="1"/>
    <col min="16076" max="16076" width="57.5703125" customWidth="1"/>
    <col min="16077" max="16077" width="14.28515625" customWidth="1"/>
    <col min="16078" max="16078" width="0.85546875" customWidth="1"/>
    <col min="16079" max="16079" width="16.5703125" bestFit="1" customWidth="1"/>
    <col min="16080" max="16080" width="13.42578125" bestFit="1" customWidth="1"/>
  </cols>
  <sheetData>
    <row r="1" spans="1:21">
      <c r="A1" s="69"/>
      <c r="B1" s="69"/>
      <c r="C1" s="69"/>
      <c r="D1" s="69"/>
      <c r="E1" s="69"/>
      <c r="F1" s="69"/>
      <c r="G1" s="69"/>
      <c r="H1" s="69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69"/>
      <c r="U1" s="69"/>
    </row>
    <row r="2" spans="1:21">
      <c r="A2" s="69"/>
      <c r="B2" s="69"/>
      <c r="C2" s="69"/>
      <c r="D2" s="69"/>
      <c r="E2" s="69"/>
      <c r="F2" s="69"/>
      <c r="G2" s="69"/>
      <c r="H2" s="69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69"/>
      <c r="U2" s="69"/>
    </row>
    <row r="3" spans="1:21">
      <c r="A3" s="69"/>
      <c r="B3" s="69"/>
      <c r="C3" s="69"/>
      <c r="D3" s="69"/>
      <c r="E3" s="69"/>
      <c r="F3" s="69"/>
      <c r="G3" s="69"/>
      <c r="H3" s="69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69"/>
      <c r="U3" s="69"/>
    </row>
    <row r="4" spans="1:21">
      <c r="A4" s="69"/>
      <c r="B4" s="69"/>
      <c r="C4" s="69"/>
      <c r="D4" s="69"/>
      <c r="E4" s="69"/>
      <c r="F4" s="69"/>
      <c r="G4" s="69"/>
      <c r="H4" s="69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69"/>
      <c r="U4" s="69"/>
    </row>
    <row r="5" spans="1:21" ht="20.25">
      <c r="A5" s="169" t="str">
        <f>'[1]Estado de flujo de Efectivo'!A1:B1</f>
        <v>Consejo Económico y Social -CES-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69"/>
    </row>
    <row r="6" spans="1:21" ht="20.25">
      <c r="A6" s="169" t="s">
        <v>139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69"/>
    </row>
    <row r="7" spans="1:21" ht="20.25">
      <c r="A7" s="169" t="s">
        <v>0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69"/>
    </row>
    <row r="8" spans="1:21" ht="18.75" customHeight="1" thickBot="1">
      <c r="A8" s="6"/>
      <c r="B8" s="6"/>
      <c r="C8" s="6"/>
      <c r="D8" s="6"/>
      <c r="E8" s="108"/>
      <c r="F8" s="109"/>
      <c r="G8" s="110"/>
      <c r="H8" s="110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0"/>
      <c r="U8" s="69"/>
    </row>
    <row r="9" spans="1:21" ht="0.75" customHeight="1" thickBot="1">
      <c r="A9" s="166" t="s">
        <v>1</v>
      </c>
      <c r="B9" s="167"/>
      <c r="C9" s="167"/>
      <c r="D9" s="167"/>
      <c r="E9" s="168"/>
      <c r="F9" s="7"/>
      <c r="G9" s="112" t="s">
        <v>2</v>
      </c>
      <c r="H9" s="112"/>
      <c r="I9" s="113" t="s">
        <v>2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5" t="s">
        <v>2</v>
      </c>
      <c r="U9" s="69"/>
    </row>
    <row r="10" spans="1:21" ht="49.5" customHeight="1" thickBot="1">
      <c r="A10" s="66"/>
      <c r="B10" s="66"/>
      <c r="C10" s="67"/>
      <c r="D10" s="67"/>
      <c r="E10" s="68"/>
      <c r="F10" s="56"/>
      <c r="G10" s="8" t="s">
        <v>120</v>
      </c>
      <c r="H10" s="8" t="s">
        <v>121</v>
      </c>
      <c r="I10" s="116" t="s">
        <v>122</v>
      </c>
      <c r="J10" s="116" t="s">
        <v>123</v>
      </c>
      <c r="K10" s="116" t="s">
        <v>124</v>
      </c>
      <c r="L10" s="116" t="s">
        <v>125</v>
      </c>
      <c r="M10" s="116" t="s">
        <v>126</v>
      </c>
      <c r="N10" s="116" t="s">
        <v>127</v>
      </c>
      <c r="O10" s="116" t="s">
        <v>128</v>
      </c>
      <c r="P10" s="116" t="s">
        <v>129</v>
      </c>
      <c r="Q10" s="116" t="s">
        <v>130</v>
      </c>
      <c r="R10" s="116" t="s">
        <v>131</v>
      </c>
      <c r="S10" s="116" t="s">
        <v>140</v>
      </c>
      <c r="T10" s="64" t="s">
        <v>132</v>
      </c>
      <c r="U10" s="117" t="s">
        <v>115</v>
      </c>
    </row>
    <row r="11" spans="1:21" ht="32.25" thickBot="1">
      <c r="A11" s="9" t="s">
        <v>3</v>
      </c>
      <c r="B11" s="8" t="s">
        <v>4</v>
      </c>
      <c r="C11" s="10" t="s">
        <v>5</v>
      </c>
      <c r="D11" s="8" t="s">
        <v>6</v>
      </c>
      <c r="E11" s="8" t="s">
        <v>7</v>
      </c>
      <c r="F11" s="66" t="s">
        <v>8</v>
      </c>
      <c r="G11" s="118" t="s">
        <v>9</v>
      </c>
      <c r="H11" s="118" t="s">
        <v>9</v>
      </c>
      <c r="I11" s="11" t="s">
        <v>9</v>
      </c>
      <c r="J11" s="11" t="s">
        <v>9</v>
      </c>
      <c r="K11" s="11" t="s">
        <v>9</v>
      </c>
      <c r="L11" s="11" t="s">
        <v>9</v>
      </c>
      <c r="M11" s="11" t="s">
        <v>9</v>
      </c>
      <c r="N11" s="11" t="s">
        <v>9</v>
      </c>
      <c r="O11" s="11" t="s">
        <v>9</v>
      </c>
      <c r="P11" s="11" t="s">
        <v>9</v>
      </c>
      <c r="Q11" s="11" t="s">
        <v>9</v>
      </c>
      <c r="R11" s="11" t="s">
        <v>9</v>
      </c>
      <c r="S11" s="11" t="s">
        <v>9</v>
      </c>
      <c r="T11" s="11" t="s">
        <v>9</v>
      </c>
      <c r="U11" s="119" t="s">
        <v>9</v>
      </c>
    </row>
    <row r="12" spans="1:21" ht="15.75">
      <c r="A12" s="12"/>
      <c r="B12" s="13"/>
      <c r="C12" s="14"/>
      <c r="D12" s="15"/>
      <c r="E12" s="16"/>
      <c r="F12" s="95"/>
      <c r="G12" s="120"/>
      <c r="H12" s="120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2"/>
    </row>
    <row r="13" spans="1:21" ht="32.25" thickBot="1">
      <c r="A13" s="13">
        <v>2</v>
      </c>
      <c r="B13" s="13">
        <v>1</v>
      </c>
      <c r="C13" s="17"/>
      <c r="D13" s="13"/>
      <c r="E13" s="18"/>
      <c r="F13" s="97" t="s">
        <v>10</v>
      </c>
      <c r="G13" s="19">
        <f>G14+G32+G39+G44</f>
        <v>17970117</v>
      </c>
      <c r="H13" s="19">
        <f>H14+H32+H39+H44</f>
        <v>1600000</v>
      </c>
      <c r="I13" s="19">
        <f>I14+I32+I39+I44</f>
        <v>894193.64</v>
      </c>
      <c r="J13" s="19">
        <f t="shared" ref="J13:U13" si="0">J14+J32+J39+J44</f>
        <v>898702.92</v>
      </c>
      <c r="K13" s="19">
        <f t="shared" si="0"/>
        <v>901091.05</v>
      </c>
      <c r="L13" s="19">
        <f t="shared" si="0"/>
        <v>903115.4</v>
      </c>
      <c r="M13" s="19">
        <f t="shared" si="0"/>
        <v>916032.07000000007</v>
      </c>
      <c r="N13" s="19">
        <f t="shared" si="0"/>
        <v>845989.23</v>
      </c>
      <c r="O13" s="19">
        <f t="shared" si="0"/>
        <v>903115.4</v>
      </c>
      <c r="P13" s="19">
        <f t="shared" si="0"/>
        <v>925015.38</v>
      </c>
      <c r="Q13" s="19">
        <f>Q14+Q32+Q39+Q44</f>
        <v>974606.07000000007</v>
      </c>
      <c r="R13" s="19">
        <f>R14+R32+R39+R44</f>
        <v>2303993.17</v>
      </c>
      <c r="S13" s="19">
        <f>S14+S32+S39+S44</f>
        <v>1342678.62</v>
      </c>
      <c r="T13" s="19">
        <f>T14+T32+T39+T44</f>
        <v>11808532.950000001</v>
      </c>
      <c r="U13" s="63">
        <f t="shared" si="0"/>
        <v>6266680.2299999995</v>
      </c>
    </row>
    <row r="14" spans="1:21" ht="16.5" thickBot="1">
      <c r="A14" s="13">
        <v>2</v>
      </c>
      <c r="B14" s="13">
        <v>1</v>
      </c>
      <c r="C14" s="17">
        <v>1</v>
      </c>
      <c r="D14" s="13"/>
      <c r="E14" s="18"/>
      <c r="F14" s="97" t="s">
        <v>11</v>
      </c>
      <c r="G14" s="26">
        <f>G15+G18+G23+G26</f>
        <v>15000360</v>
      </c>
      <c r="H14" s="26">
        <f>H15+H18+H23+H26</f>
        <v>1600000</v>
      </c>
      <c r="I14" s="26">
        <f>I15+I18+I23+I26</f>
        <v>777812.64</v>
      </c>
      <c r="J14" s="26">
        <f t="shared" ref="J14:U14" si="1">J15+J18+J23+J26</f>
        <v>788111</v>
      </c>
      <c r="K14" s="26">
        <f t="shared" si="1"/>
        <v>787111</v>
      </c>
      <c r="L14" s="26">
        <f t="shared" si="1"/>
        <v>787111</v>
      </c>
      <c r="M14" s="26">
        <f t="shared" si="1"/>
        <v>800027.67</v>
      </c>
      <c r="N14" s="26">
        <f t="shared" si="1"/>
        <v>800011</v>
      </c>
      <c r="O14" s="26">
        <f t="shared" si="1"/>
        <v>787111</v>
      </c>
      <c r="P14" s="26">
        <f t="shared" si="1"/>
        <v>809011</v>
      </c>
      <c r="Q14" s="26">
        <f t="shared" si="1"/>
        <v>860130.67</v>
      </c>
      <c r="R14" s="26">
        <f>R15+R18+R23+R26</f>
        <v>2032344.51</v>
      </c>
      <c r="S14" s="26">
        <f>S15+S18+S23+S26</f>
        <v>1174830</v>
      </c>
      <c r="T14" s="26">
        <f t="shared" si="1"/>
        <v>10403611.49</v>
      </c>
      <c r="U14" s="123">
        <f t="shared" si="1"/>
        <v>4701844.6899999995</v>
      </c>
    </row>
    <row r="15" spans="1:21" ht="32.25" thickBot="1">
      <c r="A15" s="13">
        <v>2</v>
      </c>
      <c r="B15" s="13">
        <v>1</v>
      </c>
      <c r="C15" s="17">
        <v>1</v>
      </c>
      <c r="D15" s="13">
        <v>1</v>
      </c>
      <c r="E15" s="18"/>
      <c r="F15" s="97" t="s">
        <v>12</v>
      </c>
      <c r="G15" s="23">
        <f>G16</f>
        <v>6215000</v>
      </c>
      <c r="H15" s="23">
        <f>H16</f>
        <v>1600000</v>
      </c>
      <c r="I15" s="24">
        <f>I16</f>
        <v>225000</v>
      </c>
      <c r="J15" s="23">
        <f t="shared" ref="J15:U15" si="2">J16</f>
        <v>225000</v>
      </c>
      <c r="K15" s="23">
        <f t="shared" si="2"/>
        <v>225000</v>
      </c>
      <c r="L15" s="23">
        <f t="shared" si="2"/>
        <v>225000</v>
      </c>
      <c r="M15" s="23">
        <f t="shared" si="2"/>
        <v>225000</v>
      </c>
      <c r="N15" s="23">
        <f t="shared" si="2"/>
        <v>225000</v>
      </c>
      <c r="O15" s="23">
        <f t="shared" si="2"/>
        <v>225000</v>
      </c>
      <c r="P15" s="23">
        <f t="shared" si="2"/>
        <v>225000</v>
      </c>
      <c r="Q15" s="124">
        <f t="shared" si="2"/>
        <v>225000</v>
      </c>
      <c r="R15" s="23">
        <f t="shared" si="2"/>
        <v>450000</v>
      </c>
      <c r="S15" s="23">
        <f t="shared" si="2"/>
        <v>300000</v>
      </c>
      <c r="T15" s="24">
        <f>T16</f>
        <v>2775000</v>
      </c>
      <c r="U15" s="77">
        <f t="shared" si="2"/>
        <v>3440000</v>
      </c>
    </row>
    <row r="16" spans="1:21" ht="15.75">
      <c r="A16" s="13">
        <v>2</v>
      </c>
      <c r="B16" s="13">
        <v>1</v>
      </c>
      <c r="C16" s="17">
        <v>1</v>
      </c>
      <c r="D16" s="13">
        <v>1</v>
      </c>
      <c r="E16" s="13">
        <v>1</v>
      </c>
      <c r="F16" s="98" t="s">
        <v>13</v>
      </c>
      <c r="G16" s="41">
        <v>6215000</v>
      </c>
      <c r="H16" s="41">
        <v>1600000</v>
      </c>
      <c r="I16" s="36">
        <v>225000</v>
      </c>
      <c r="J16" s="36">
        <v>225000</v>
      </c>
      <c r="K16" s="36">
        <v>225000</v>
      </c>
      <c r="L16" s="36">
        <v>225000</v>
      </c>
      <c r="M16" s="36">
        <v>225000</v>
      </c>
      <c r="N16" s="36">
        <v>225000</v>
      </c>
      <c r="O16" s="36">
        <v>225000</v>
      </c>
      <c r="P16" s="36">
        <v>225000</v>
      </c>
      <c r="Q16" s="36">
        <v>225000</v>
      </c>
      <c r="R16" s="36">
        <v>450000</v>
      </c>
      <c r="S16" s="36">
        <v>300000</v>
      </c>
      <c r="T16" s="36">
        <f>+I16+J16+K16+L16+M16+N16+O16+P16+Q16+R16+S16</f>
        <v>2775000</v>
      </c>
      <c r="U16" s="125">
        <f>+G16-T16</f>
        <v>3440000</v>
      </c>
    </row>
    <row r="17" spans="1:21" ht="15.75">
      <c r="A17" s="13"/>
      <c r="B17" s="13"/>
      <c r="C17" s="17"/>
      <c r="D17" s="13"/>
      <c r="E17" s="12"/>
      <c r="F17" s="98"/>
      <c r="G17" s="27"/>
      <c r="H17" s="2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26"/>
    </row>
    <row r="18" spans="1:21" ht="48" thickBot="1">
      <c r="A18" s="13">
        <v>2</v>
      </c>
      <c r="B18" s="13">
        <v>1</v>
      </c>
      <c r="C18" s="17">
        <v>1</v>
      </c>
      <c r="D18" s="13">
        <v>2</v>
      </c>
      <c r="E18" s="18"/>
      <c r="F18" s="92" t="s">
        <v>14</v>
      </c>
      <c r="G18" s="19">
        <f>G19</f>
        <v>7705332</v>
      </c>
      <c r="H18" s="19">
        <f>H19</f>
        <v>0</v>
      </c>
      <c r="I18" s="20">
        <f t="shared" ref="I18:T18" si="3">SUM(I19:I21)</f>
        <v>552812.64</v>
      </c>
      <c r="J18" s="20">
        <f t="shared" si="3"/>
        <v>563111</v>
      </c>
      <c r="K18" s="20">
        <f t="shared" si="3"/>
        <v>562111</v>
      </c>
      <c r="L18" s="20">
        <f t="shared" si="3"/>
        <v>562111</v>
      </c>
      <c r="M18" s="20">
        <f t="shared" si="3"/>
        <v>552111</v>
      </c>
      <c r="N18" s="20">
        <f t="shared" si="3"/>
        <v>562111</v>
      </c>
      <c r="O18" s="20">
        <f t="shared" si="3"/>
        <v>562111</v>
      </c>
      <c r="P18" s="20">
        <f t="shared" si="3"/>
        <v>562111</v>
      </c>
      <c r="Q18" s="20">
        <f t="shared" si="3"/>
        <v>532111</v>
      </c>
      <c r="R18" s="20">
        <f t="shared" si="3"/>
        <v>1580268</v>
      </c>
      <c r="S18" s="20">
        <f t="shared" si="3"/>
        <v>874830</v>
      </c>
      <c r="T18" s="20">
        <f t="shared" si="3"/>
        <v>7465798.6399999997</v>
      </c>
      <c r="U18" s="81">
        <f t="shared" ref="U18" si="4">SUM(U19:U21)</f>
        <v>239533.36</v>
      </c>
    </row>
    <row r="19" spans="1:21" ht="47.25">
      <c r="A19" s="13">
        <v>2</v>
      </c>
      <c r="B19" s="13">
        <v>1</v>
      </c>
      <c r="C19" s="17">
        <v>1</v>
      </c>
      <c r="D19" s="13">
        <v>2</v>
      </c>
      <c r="E19" s="13">
        <v>1</v>
      </c>
      <c r="F19" s="94" t="s">
        <v>15</v>
      </c>
      <c r="G19" s="31">
        <v>7705332</v>
      </c>
      <c r="H19" s="32"/>
      <c r="I19" s="28">
        <f>25800+36000+40000+31200+43800+54125+59250+43800+73568+73568+55000</f>
        <v>536111</v>
      </c>
      <c r="J19" s="28">
        <f>25800+36000+40000+31200+43800+54125+59250+43800+73568+73568+55000+27000</f>
        <v>563111</v>
      </c>
      <c r="K19" s="127">
        <f t="shared" ref="K19:P19" si="5">26000+36000+40000+31200+43800+25800+54125+59250+43800+73568+73568+55000</f>
        <v>562111</v>
      </c>
      <c r="L19" s="127">
        <f t="shared" si="5"/>
        <v>562111</v>
      </c>
      <c r="M19" s="127">
        <f>26000+36000+40000+31200+43800+15800+54125+59250+43800+73568+73568+55000</f>
        <v>552111</v>
      </c>
      <c r="N19" s="127">
        <f t="shared" si="5"/>
        <v>562111</v>
      </c>
      <c r="O19" s="127">
        <f t="shared" si="5"/>
        <v>562111</v>
      </c>
      <c r="P19" s="127">
        <f t="shared" si="5"/>
        <v>562111</v>
      </c>
      <c r="Q19" s="28">
        <f>26000+36000+31200+43800+25800+54125+59250+43800+73568+73568+55000+10000</f>
        <v>532111</v>
      </c>
      <c r="R19" s="34">
        <v>1580268</v>
      </c>
      <c r="S19" s="33">
        <f>85065+110065+122117+73500+93500+80500+48920+73500+60885+75378+51400</f>
        <v>874830</v>
      </c>
      <c r="T19" s="28">
        <f>+I19+J201+K19+L19+M19+N19+J19+O19+P19+Q19+R19+S19</f>
        <v>7449097</v>
      </c>
      <c r="U19" s="126">
        <f>+G19-T19</f>
        <v>256235</v>
      </c>
    </row>
    <row r="20" spans="1:21" ht="31.5">
      <c r="A20" s="13">
        <v>2</v>
      </c>
      <c r="B20" s="13">
        <v>1</v>
      </c>
      <c r="C20" s="17">
        <v>1</v>
      </c>
      <c r="D20" s="13">
        <v>2</v>
      </c>
      <c r="E20" s="13">
        <v>2</v>
      </c>
      <c r="F20" s="94" t="s">
        <v>16</v>
      </c>
      <c r="G20" s="27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>
        <f>+I20+J20+K20+L20+M20+N20+O20+P20+Q20</f>
        <v>0</v>
      </c>
      <c r="U20" s="126"/>
    </row>
    <row r="21" spans="1:21" ht="31.5">
      <c r="A21" s="13">
        <v>2</v>
      </c>
      <c r="B21" s="13">
        <v>1</v>
      </c>
      <c r="C21" s="17">
        <v>1</v>
      </c>
      <c r="D21" s="13">
        <v>2</v>
      </c>
      <c r="E21" s="13">
        <v>5</v>
      </c>
      <c r="F21" s="94" t="s">
        <v>17</v>
      </c>
      <c r="G21" s="32"/>
      <c r="H21" s="32"/>
      <c r="I21" s="33">
        <f>16701.64</f>
        <v>16701.64</v>
      </c>
      <c r="J21" s="33">
        <v>0</v>
      </c>
      <c r="K21" s="33"/>
      <c r="L21" s="33"/>
      <c r="M21" s="33"/>
      <c r="N21" s="33"/>
      <c r="O21" s="33"/>
      <c r="P21" s="127"/>
      <c r="Q21" s="28"/>
      <c r="R21" s="127"/>
      <c r="S21" s="127"/>
      <c r="T21" s="28">
        <f>+I21+J21+K21+L21+M21+N21+O21+P21+Q21+R21+S21</f>
        <v>16701.64</v>
      </c>
      <c r="U21" s="128">
        <f>+G21-T21</f>
        <v>-16701.64</v>
      </c>
    </row>
    <row r="22" spans="1:21" ht="15.75">
      <c r="A22" s="13"/>
      <c r="B22" s="13"/>
      <c r="C22" s="17"/>
      <c r="D22" s="13"/>
      <c r="E22" s="13"/>
      <c r="F22" s="94"/>
      <c r="G22" s="32"/>
      <c r="H22" s="32"/>
      <c r="I22" s="33" t="s">
        <v>116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>
        <f>+J22</f>
        <v>0</v>
      </c>
      <c r="U22" s="128"/>
    </row>
    <row r="23" spans="1:21" ht="16.5" thickBot="1">
      <c r="A23" s="13">
        <v>2</v>
      </c>
      <c r="B23" s="13">
        <v>1</v>
      </c>
      <c r="C23" s="17">
        <v>1</v>
      </c>
      <c r="D23" s="13">
        <v>4</v>
      </c>
      <c r="E23" s="18"/>
      <c r="F23" s="92" t="s">
        <v>18</v>
      </c>
      <c r="G23" s="19">
        <f t="shared" ref="G23:U23" si="6">G24</f>
        <v>1080028</v>
      </c>
      <c r="H23" s="19">
        <f t="shared" si="6"/>
        <v>0</v>
      </c>
      <c r="I23" s="26">
        <f t="shared" si="6"/>
        <v>0</v>
      </c>
      <c r="J23" s="26">
        <f t="shared" si="6"/>
        <v>0</v>
      </c>
      <c r="K23" s="26">
        <f t="shared" si="6"/>
        <v>0</v>
      </c>
      <c r="L23" s="26">
        <f t="shared" si="6"/>
        <v>0</v>
      </c>
      <c r="M23" s="26">
        <f t="shared" si="6"/>
        <v>22916.67</v>
      </c>
      <c r="N23" s="26">
        <f t="shared" si="6"/>
        <v>12900</v>
      </c>
      <c r="O23" s="26">
        <f t="shared" si="6"/>
        <v>0</v>
      </c>
      <c r="P23" s="26">
        <f t="shared" si="6"/>
        <v>21900</v>
      </c>
      <c r="Q23" s="26">
        <f t="shared" si="6"/>
        <v>0</v>
      </c>
      <c r="R23" s="26">
        <f>R24</f>
        <v>0</v>
      </c>
      <c r="S23" s="26">
        <f>S24</f>
        <v>0</v>
      </c>
      <c r="T23" s="26">
        <f t="shared" si="6"/>
        <v>57716.67</v>
      </c>
      <c r="U23" s="123">
        <f t="shared" si="6"/>
        <v>1022311.33</v>
      </c>
    </row>
    <row r="24" spans="1:21" ht="15.75">
      <c r="A24" s="13">
        <v>2</v>
      </c>
      <c r="B24" s="13">
        <v>1</v>
      </c>
      <c r="C24" s="17">
        <v>1</v>
      </c>
      <c r="D24" s="13">
        <v>4</v>
      </c>
      <c r="E24" s="13">
        <v>1</v>
      </c>
      <c r="F24" s="94" t="s">
        <v>19</v>
      </c>
      <c r="G24" s="31">
        <v>1080028</v>
      </c>
      <c r="H24" s="31"/>
      <c r="I24" s="34">
        <v>0</v>
      </c>
      <c r="J24" s="34"/>
      <c r="K24" s="34"/>
      <c r="L24" s="34"/>
      <c r="M24" s="34">
        <v>22916.67</v>
      </c>
      <c r="N24" s="34">
        <v>12900</v>
      </c>
      <c r="O24" s="34"/>
      <c r="P24" s="34">
        <v>21900</v>
      </c>
      <c r="Q24" s="34"/>
      <c r="R24" s="34"/>
      <c r="S24" s="34"/>
      <c r="T24" s="34">
        <f>+I24+J24+K24+L24+M24+N24+O24+P24+Q24+R24+S24</f>
        <v>57716.67</v>
      </c>
      <c r="U24" s="129">
        <f>+G24-T24</f>
        <v>1022311.33</v>
      </c>
    </row>
    <row r="25" spans="1:21" ht="15.75">
      <c r="A25" s="13"/>
      <c r="B25" s="13"/>
      <c r="C25" s="17"/>
      <c r="D25" s="13"/>
      <c r="E25" s="13"/>
      <c r="F25" s="94"/>
      <c r="G25" s="32"/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>
        <f>+I25+J25+K25+L25+M25</f>
        <v>0</v>
      </c>
      <c r="U25" s="128"/>
    </row>
    <row r="26" spans="1:21" ht="32.25" thickBot="1">
      <c r="A26" s="13">
        <v>2</v>
      </c>
      <c r="B26" s="13">
        <v>1</v>
      </c>
      <c r="C26" s="17">
        <v>1</v>
      </c>
      <c r="D26" s="13">
        <v>5</v>
      </c>
      <c r="E26" s="18"/>
      <c r="F26" s="92" t="s">
        <v>20</v>
      </c>
      <c r="G26" s="35">
        <f>G27+G30</f>
        <v>0</v>
      </c>
      <c r="H26" s="35">
        <f>H27+H30</f>
        <v>0</v>
      </c>
      <c r="I26" s="20">
        <f t="shared" ref="I26:U26" si="7">I27+I28+I29+I30</f>
        <v>0</v>
      </c>
      <c r="J26" s="20">
        <f t="shared" si="7"/>
        <v>0</v>
      </c>
      <c r="K26" s="20">
        <f t="shared" si="7"/>
        <v>0</v>
      </c>
      <c r="L26" s="20">
        <f t="shared" si="7"/>
        <v>0</v>
      </c>
      <c r="M26" s="20">
        <f t="shared" si="7"/>
        <v>0</v>
      </c>
      <c r="N26" s="20">
        <f t="shared" si="7"/>
        <v>0</v>
      </c>
      <c r="O26" s="20">
        <f t="shared" si="7"/>
        <v>0</v>
      </c>
      <c r="P26" s="20">
        <f t="shared" si="7"/>
        <v>0</v>
      </c>
      <c r="Q26" s="20">
        <f t="shared" si="7"/>
        <v>103019.67</v>
      </c>
      <c r="R26" s="20">
        <f t="shared" si="7"/>
        <v>2076.5100000000002</v>
      </c>
      <c r="S26" s="20">
        <f t="shared" si="7"/>
        <v>0</v>
      </c>
      <c r="T26" s="20">
        <f t="shared" si="7"/>
        <v>105096.18</v>
      </c>
      <c r="U26" s="81">
        <f t="shared" si="7"/>
        <v>0</v>
      </c>
    </row>
    <row r="27" spans="1:21" ht="31.5">
      <c r="A27" s="13">
        <v>2</v>
      </c>
      <c r="B27" s="13">
        <v>1</v>
      </c>
      <c r="C27" s="17">
        <v>1</v>
      </c>
      <c r="D27" s="13">
        <v>5</v>
      </c>
      <c r="E27" s="13">
        <v>1</v>
      </c>
      <c r="F27" s="94" t="s">
        <v>20</v>
      </c>
      <c r="G27" s="32"/>
      <c r="H27" s="32"/>
      <c r="I27" s="33">
        <v>0</v>
      </c>
      <c r="J27" s="33"/>
      <c r="K27" s="33"/>
      <c r="L27" s="33"/>
      <c r="M27" s="33"/>
      <c r="N27" s="33"/>
      <c r="O27" s="33"/>
      <c r="P27" s="33"/>
      <c r="Q27" s="33">
        <v>103019.67</v>
      </c>
      <c r="R27" s="33">
        <v>2076.5100000000002</v>
      </c>
      <c r="S27" s="33"/>
      <c r="T27" s="33">
        <f>+I27+J27+K27+L27+M27+N27+O27+P27+Q27+R27+S27</f>
        <v>105096.18</v>
      </c>
      <c r="U27" s="128">
        <v>0</v>
      </c>
    </row>
    <row r="28" spans="1:21" ht="47.25">
      <c r="A28" s="13">
        <v>2</v>
      </c>
      <c r="B28" s="13">
        <v>1</v>
      </c>
      <c r="C28" s="17">
        <v>1</v>
      </c>
      <c r="D28" s="13">
        <v>5</v>
      </c>
      <c r="E28" s="13">
        <v>2</v>
      </c>
      <c r="F28" s="94" t="s">
        <v>21</v>
      </c>
      <c r="G28" s="32"/>
      <c r="H28" s="32"/>
      <c r="I28" s="33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>
        <f t="shared" ref="T28:T30" si="8">+I28+J28+K28+L28+M28+N28+O28+P28+Q28+R28+S28</f>
        <v>0</v>
      </c>
      <c r="U28" s="128">
        <v>0</v>
      </c>
    </row>
    <row r="29" spans="1:21" ht="31.5">
      <c r="A29" s="13">
        <v>2</v>
      </c>
      <c r="B29" s="13">
        <v>1</v>
      </c>
      <c r="C29" s="17">
        <v>1</v>
      </c>
      <c r="D29" s="13">
        <v>5</v>
      </c>
      <c r="E29" s="13">
        <v>3</v>
      </c>
      <c r="F29" s="94" t="s">
        <v>22</v>
      </c>
      <c r="G29" s="32"/>
      <c r="H29" s="32"/>
      <c r="I29" s="33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>
        <f t="shared" si="8"/>
        <v>0</v>
      </c>
      <c r="U29" s="128">
        <v>0</v>
      </c>
    </row>
    <row r="30" spans="1:21" ht="47.25">
      <c r="A30" s="13">
        <v>2</v>
      </c>
      <c r="B30" s="13">
        <v>1</v>
      </c>
      <c r="C30" s="17">
        <v>1</v>
      </c>
      <c r="D30" s="13">
        <v>5</v>
      </c>
      <c r="E30" s="13">
        <v>4</v>
      </c>
      <c r="F30" s="94" t="s">
        <v>23</v>
      </c>
      <c r="G30" s="32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>
        <f t="shared" si="8"/>
        <v>0</v>
      </c>
      <c r="U30" s="128"/>
    </row>
    <row r="31" spans="1:21" ht="16.5" thickBot="1">
      <c r="A31" s="13"/>
      <c r="B31" s="13"/>
      <c r="C31" s="17"/>
      <c r="D31" s="13"/>
      <c r="E31" s="13"/>
      <c r="F31" s="94"/>
      <c r="G31" s="32"/>
      <c r="H31" s="32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128"/>
    </row>
    <row r="32" spans="1:21" ht="16.5" thickBot="1">
      <c r="A32" s="13">
        <v>2</v>
      </c>
      <c r="B32" s="13">
        <v>1</v>
      </c>
      <c r="C32" s="17">
        <v>2</v>
      </c>
      <c r="D32" s="13"/>
      <c r="E32" s="13"/>
      <c r="F32" s="92" t="s">
        <v>24</v>
      </c>
      <c r="G32" s="21">
        <f t="shared" ref="G32:U32" si="9">G33</f>
        <v>967000</v>
      </c>
      <c r="H32" s="21">
        <f t="shared" si="9"/>
        <v>0</v>
      </c>
      <c r="I32" s="22">
        <f t="shared" si="9"/>
        <v>0</v>
      </c>
      <c r="J32" s="22">
        <f t="shared" si="9"/>
        <v>0</v>
      </c>
      <c r="K32" s="22">
        <f t="shared" si="9"/>
        <v>0</v>
      </c>
      <c r="L32" s="22">
        <f t="shared" si="9"/>
        <v>0</v>
      </c>
      <c r="M32" s="22">
        <f t="shared" si="9"/>
        <v>0</v>
      </c>
      <c r="N32" s="22">
        <f t="shared" si="9"/>
        <v>0</v>
      </c>
      <c r="O32" s="22">
        <f t="shared" si="9"/>
        <v>0</v>
      </c>
      <c r="P32" s="22">
        <f t="shared" si="9"/>
        <v>0</v>
      </c>
      <c r="Q32" s="22">
        <f t="shared" si="9"/>
        <v>0</v>
      </c>
      <c r="R32" s="22">
        <f t="shared" si="9"/>
        <v>0</v>
      </c>
      <c r="S32" s="22">
        <f t="shared" si="9"/>
        <v>0</v>
      </c>
      <c r="T32" s="22">
        <f t="shared" si="9"/>
        <v>0</v>
      </c>
      <c r="U32" s="22">
        <f t="shared" si="9"/>
        <v>967000</v>
      </c>
    </row>
    <row r="33" spans="1:21" ht="16.5" thickBot="1">
      <c r="A33" s="13">
        <v>2</v>
      </c>
      <c r="B33" s="13">
        <v>1</v>
      </c>
      <c r="C33" s="13">
        <v>2</v>
      </c>
      <c r="D33" s="13">
        <v>2</v>
      </c>
      <c r="E33" s="13"/>
      <c r="F33" s="92" t="s">
        <v>25</v>
      </c>
      <c r="G33" s="19">
        <f>G34+G35+G36</f>
        <v>967000</v>
      </c>
      <c r="H33" s="19">
        <f>H34+H35+H36</f>
        <v>0</v>
      </c>
      <c r="I33" s="22">
        <f t="shared" ref="I33:U33" si="10">I36</f>
        <v>0</v>
      </c>
      <c r="J33" s="22">
        <f t="shared" si="10"/>
        <v>0</v>
      </c>
      <c r="K33" s="22">
        <f t="shared" si="10"/>
        <v>0</v>
      </c>
      <c r="L33" s="22">
        <f t="shared" si="10"/>
        <v>0</v>
      </c>
      <c r="M33" s="22">
        <f t="shared" si="10"/>
        <v>0</v>
      </c>
      <c r="N33" s="22">
        <f t="shared" si="10"/>
        <v>0</v>
      </c>
      <c r="O33" s="22">
        <f t="shared" si="10"/>
        <v>0</v>
      </c>
      <c r="P33" s="22">
        <f t="shared" si="10"/>
        <v>0</v>
      </c>
      <c r="Q33" s="22">
        <f t="shared" si="10"/>
        <v>0</v>
      </c>
      <c r="R33" s="22">
        <f t="shared" si="10"/>
        <v>0</v>
      </c>
      <c r="S33" s="22">
        <f t="shared" si="10"/>
        <v>0</v>
      </c>
      <c r="T33" s="22">
        <f t="shared" si="10"/>
        <v>0</v>
      </c>
      <c r="U33" s="130">
        <f t="shared" si="10"/>
        <v>967000</v>
      </c>
    </row>
    <row r="34" spans="1:21" ht="47.25">
      <c r="A34" s="13">
        <v>2</v>
      </c>
      <c r="B34" s="13">
        <v>1</v>
      </c>
      <c r="C34" s="13">
        <v>2</v>
      </c>
      <c r="D34" s="13">
        <v>2</v>
      </c>
      <c r="E34" s="13">
        <v>2</v>
      </c>
      <c r="F34" s="92" t="s">
        <v>26</v>
      </c>
      <c r="G34" s="54"/>
      <c r="H34" s="54"/>
      <c r="I34" s="26">
        <v>0</v>
      </c>
      <c r="J34" s="26">
        <v>0</v>
      </c>
      <c r="K34" s="26"/>
      <c r="L34" s="26"/>
      <c r="M34" s="26"/>
      <c r="N34" s="26"/>
      <c r="O34" s="26"/>
      <c r="P34" s="26"/>
      <c r="Q34" s="26"/>
      <c r="R34" s="26"/>
      <c r="S34" s="26"/>
      <c r="T34" s="26">
        <f>+I34+J34+K34+L34+M34+N34+O34+P34+Q34+R34+S34</f>
        <v>0</v>
      </c>
      <c r="U34" s="123">
        <v>0</v>
      </c>
    </row>
    <row r="35" spans="1:21" ht="15.75">
      <c r="A35" s="13">
        <v>2</v>
      </c>
      <c r="B35" s="13">
        <v>1</v>
      </c>
      <c r="C35" s="13">
        <v>2</v>
      </c>
      <c r="D35" s="13">
        <v>2</v>
      </c>
      <c r="E35" s="13">
        <v>4</v>
      </c>
      <c r="F35" s="94" t="s">
        <v>27</v>
      </c>
      <c r="G35" s="32">
        <v>0</v>
      </c>
      <c r="H35" s="32"/>
      <c r="I35" s="33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26">
        <f t="shared" ref="T35:T38" si="11">+I35+J35+K35+L35+M35+N35+O35+P35+Q35+R35+S35</f>
        <v>0</v>
      </c>
      <c r="U35" s="128">
        <v>0</v>
      </c>
    </row>
    <row r="36" spans="1:21" ht="31.5">
      <c r="A36" s="13">
        <v>2</v>
      </c>
      <c r="B36" s="13">
        <v>1</v>
      </c>
      <c r="C36" s="13">
        <v>2</v>
      </c>
      <c r="D36" s="13">
        <v>2</v>
      </c>
      <c r="E36" s="13">
        <v>15</v>
      </c>
      <c r="F36" s="94" t="s">
        <v>112</v>
      </c>
      <c r="G36" s="32">
        <v>967000</v>
      </c>
      <c r="H36" s="32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26">
        <f t="shared" si="11"/>
        <v>0</v>
      </c>
      <c r="U36" s="128">
        <f>+G36-T36</f>
        <v>967000</v>
      </c>
    </row>
    <row r="37" spans="1:21" ht="15.75">
      <c r="A37" s="13"/>
      <c r="B37" s="13"/>
      <c r="C37" s="17"/>
      <c r="D37" s="13"/>
      <c r="E37" s="13"/>
      <c r="F37" s="94"/>
      <c r="G37" s="32"/>
      <c r="H37" s="32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26">
        <f t="shared" si="11"/>
        <v>0</v>
      </c>
      <c r="U37" s="128"/>
    </row>
    <row r="38" spans="1:21" ht="15.75">
      <c r="A38" s="13"/>
      <c r="B38" s="13"/>
      <c r="C38" s="17"/>
      <c r="D38" s="13"/>
      <c r="E38" s="13"/>
      <c r="F38" s="94"/>
      <c r="G38" s="32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26">
        <f t="shared" si="11"/>
        <v>0</v>
      </c>
      <c r="U38" s="128"/>
    </row>
    <row r="39" spans="1:21" ht="32.25" thickBot="1">
      <c r="A39" s="13">
        <v>2</v>
      </c>
      <c r="B39" s="13">
        <v>1</v>
      </c>
      <c r="C39" s="17">
        <v>3</v>
      </c>
      <c r="D39" s="13"/>
      <c r="E39" s="13"/>
      <c r="F39" s="92" t="s">
        <v>28</v>
      </c>
      <c r="G39" s="32"/>
      <c r="H39" s="32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128"/>
    </row>
    <row r="40" spans="1:21" ht="16.5" thickBot="1">
      <c r="A40" s="13">
        <v>2</v>
      </c>
      <c r="B40" s="13">
        <v>1</v>
      </c>
      <c r="C40" s="17">
        <v>3</v>
      </c>
      <c r="D40" s="13">
        <v>1</v>
      </c>
      <c r="E40" s="18"/>
      <c r="F40" s="92" t="s">
        <v>29</v>
      </c>
      <c r="G40" s="23">
        <f>G41+G42</f>
        <v>0</v>
      </c>
      <c r="H40" s="23"/>
      <c r="I40" s="24">
        <f>I41+I42</f>
        <v>0</v>
      </c>
      <c r="J40" s="24">
        <f>J41+J42</f>
        <v>0</v>
      </c>
      <c r="K40" s="24">
        <f t="shared" ref="K40:S40" si="12">K41+K42</f>
        <v>0</v>
      </c>
      <c r="L40" s="24">
        <f t="shared" si="12"/>
        <v>0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0</v>
      </c>
      <c r="S40" s="24">
        <f t="shared" si="12"/>
        <v>0</v>
      </c>
      <c r="T40" s="24">
        <f>T41+T42</f>
        <v>0</v>
      </c>
      <c r="U40" s="131">
        <f>U41+U42</f>
        <v>0</v>
      </c>
    </row>
    <row r="41" spans="1:21" ht="15.75">
      <c r="A41" s="13">
        <v>2</v>
      </c>
      <c r="B41" s="13">
        <v>1</v>
      </c>
      <c r="C41" s="17">
        <v>3</v>
      </c>
      <c r="D41" s="13">
        <v>1</v>
      </c>
      <c r="E41" s="13">
        <v>1</v>
      </c>
      <c r="F41" s="94" t="s">
        <v>30</v>
      </c>
      <c r="G41" s="31"/>
      <c r="H41" s="32"/>
      <c r="I41" s="33">
        <f>G41*12</f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>
        <f>+I41+J41+K41+L41+M41+N41+O41+P41+Q41+R41+S41</f>
        <v>0</v>
      </c>
      <c r="U41" s="128">
        <f>+G41-T41</f>
        <v>0</v>
      </c>
    </row>
    <row r="42" spans="1:21" ht="15.75">
      <c r="A42" s="13">
        <v>2</v>
      </c>
      <c r="B42" s="13">
        <v>1</v>
      </c>
      <c r="C42" s="17">
        <v>3</v>
      </c>
      <c r="D42" s="13">
        <v>1</v>
      </c>
      <c r="E42" s="13">
        <v>2</v>
      </c>
      <c r="F42" s="94" t="s">
        <v>31</v>
      </c>
      <c r="G42" s="32"/>
      <c r="H42" s="32"/>
      <c r="I42" s="33">
        <f>G42*12</f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>
        <f t="shared" ref="T42:T43" si="13">+I42+J42+K42+L42+M42+N42+O42+P42+Q42+R42+S42</f>
        <v>0</v>
      </c>
      <c r="U42" s="128">
        <f>+G42-T42</f>
        <v>0</v>
      </c>
    </row>
    <row r="43" spans="1:21" s="3" customFormat="1" ht="15.75">
      <c r="A43" s="13"/>
      <c r="B43" s="13"/>
      <c r="C43" s="17"/>
      <c r="D43" s="13"/>
      <c r="E43" s="13"/>
      <c r="F43" s="94"/>
      <c r="G43" s="32"/>
      <c r="H43" s="32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>
        <f t="shared" si="13"/>
        <v>0</v>
      </c>
      <c r="U43" s="128"/>
    </row>
    <row r="44" spans="1:21" ht="48" thickBot="1">
      <c r="A44" s="13">
        <v>2</v>
      </c>
      <c r="B44" s="38">
        <v>1</v>
      </c>
      <c r="C44" s="39">
        <v>5</v>
      </c>
      <c r="D44" s="18"/>
      <c r="E44" s="18"/>
      <c r="F44" s="92" t="s">
        <v>32</v>
      </c>
      <c r="G44" s="19">
        <f t="shared" ref="G44:T44" si="14">SUM(G45:G47)</f>
        <v>2002757</v>
      </c>
      <c r="H44" s="19">
        <f t="shared" si="14"/>
        <v>0</v>
      </c>
      <c r="I44" s="26">
        <f t="shared" si="14"/>
        <v>116381</v>
      </c>
      <c r="J44" s="26">
        <f t="shared" si="14"/>
        <v>110591.92</v>
      </c>
      <c r="K44" s="26">
        <f t="shared" si="14"/>
        <v>113980.05</v>
      </c>
      <c r="L44" s="26">
        <f t="shared" si="14"/>
        <v>116004.4</v>
      </c>
      <c r="M44" s="26">
        <f t="shared" si="14"/>
        <v>116004.4</v>
      </c>
      <c r="N44" s="26">
        <f t="shared" si="14"/>
        <v>45978.23</v>
      </c>
      <c r="O44" s="26">
        <f t="shared" si="14"/>
        <v>116004.4</v>
      </c>
      <c r="P44" s="26">
        <f t="shared" si="14"/>
        <v>116004.37999999999</v>
      </c>
      <c r="Q44" s="26">
        <f>SUM(Q45:Q47)</f>
        <v>114475.4</v>
      </c>
      <c r="R44" s="26">
        <f>SUM(R45:R47)</f>
        <v>271648.66000000003</v>
      </c>
      <c r="S44" s="26">
        <f>SUM(S45:S47)</f>
        <v>167848.62</v>
      </c>
      <c r="T44" s="26">
        <f t="shared" si="14"/>
        <v>1404921.4600000002</v>
      </c>
      <c r="U44" s="123">
        <f t="shared" ref="U44" si="15">SUM(U45:U47)</f>
        <v>597835.5399999998</v>
      </c>
    </row>
    <row r="45" spans="1:21" ht="31.5">
      <c r="A45" s="13">
        <v>2</v>
      </c>
      <c r="B45" s="13">
        <v>1</v>
      </c>
      <c r="C45" s="17">
        <v>5</v>
      </c>
      <c r="D45" s="13">
        <v>1</v>
      </c>
      <c r="E45" s="13"/>
      <c r="F45" s="98" t="s">
        <v>33</v>
      </c>
      <c r="G45" s="31">
        <v>915272</v>
      </c>
      <c r="H45" s="31"/>
      <c r="I45" s="34">
        <v>52497</v>
      </c>
      <c r="J45" s="34">
        <f>51454.68-3540.76</f>
        <v>47913.919999999998</v>
      </c>
      <c r="K45" s="34">
        <v>51383.78</v>
      </c>
      <c r="L45" s="34">
        <v>53113.39</v>
      </c>
      <c r="M45" s="34">
        <v>53113.39</v>
      </c>
      <c r="N45" s="34">
        <f>53113.39-70026.15</f>
        <v>-16912.759999999995</v>
      </c>
      <c r="O45" s="34">
        <v>53113.39</v>
      </c>
      <c r="P45" s="34">
        <v>53113.39</v>
      </c>
      <c r="Q45" s="34">
        <v>52404.39</v>
      </c>
      <c r="R45" s="34">
        <v>123018.1</v>
      </c>
      <c r="S45" s="34">
        <v>75285.179999999993</v>
      </c>
      <c r="T45" s="34">
        <f>+I45+J45+K45+L45+M45+N45+O45+P45+Q45+R45+S45</f>
        <v>598043.17000000016</v>
      </c>
      <c r="U45" s="129">
        <f>+G45-T45</f>
        <v>317228.82999999984</v>
      </c>
    </row>
    <row r="46" spans="1:21" ht="31.5">
      <c r="A46" s="13">
        <v>2</v>
      </c>
      <c r="B46" s="13">
        <v>1</v>
      </c>
      <c r="C46" s="17">
        <v>5</v>
      </c>
      <c r="D46" s="13">
        <v>2</v>
      </c>
      <c r="E46" s="13"/>
      <c r="F46" s="98" t="s">
        <v>34</v>
      </c>
      <c r="G46" s="32">
        <v>988344</v>
      </c>
      <c r="H46" s="32"/>
      <c r="I46" s="33">
        <v>57000</v>
      </c>
      <c r="J46" s="33">
        <v>55956</v>
      </c>
      <c r="K46" s="33">
        <v>55884.89</v>
      </c>
      <c r="L46" s="33">
        <v>55884.89</v>
      </c>
      <c r="M46" s="33">
        <v>55884.89</v>
      </c>
      <c r="N46" s="33">
        <v>55884.88</v>
      </c>
      <c r="O46" s="33">
        <v>55884.89</v>
      </c>
      <c r="P46" s="33">
        <v>55884.88</v>
      </c>
      <c r="Q46" s="33">
        <v>55174.89</v>
      </c>
      <c r="R46" s="33">
        <v>138755.88</v>
      </c>
      <c r="S46" s="33">
        <v>83412.95</v>
      </c>
      <c r="T46" s="33">
        <f>+I46+J46+K46+L46+M46+N46+O46+P46+Q46+R46+S46</f>
        <v>725609.04</v>
      </c>
      <c r="U46" s="128">
        <f>+G46-T46</f>
        <v>262734.95999999996</v>
      </c>
    </row>
    <row r="47" spans="1:21" ht="31.5">
      <c r="A47" s="13">
        <v>2</v>
      </c>
      <c r="B47" s="13">
        <v>1</v>
      </c>
      <c r="C47" s="17">
        <v>5</v>
      </c>
      <c r="D47" s="13">
        <v>3</v>
      </c>
      <c r="E47" s="13"/>
      <c r="F47" s="94" t="s">
        <v>35</v>
      </c>
      <c r="G47" s="32">
        <v>99141</v>
      </c>
      <c r="H47" s="32"/>
      <c r="I47" s="33">
        <v>6884</v>
      </c>
      <c r="J47" s="33">
        <v>6722</v>
      </c>
      <c r="K47" s="33">
        <v>6711.38</v>
      </c>
      <c r="L47" s="33">
        <v>7006.12</v>
      </c>
      <c r="M47" s="33">
        <v>7006.12</v>
      </c>
      <c r="N47" s="33">
        <v>7006.11</v>
      </c>
      <c r="O47" s="33">
        <v>7006.12</v>
      </c>
      <c r="P47" s="33">
        <v>7006.11</v>
      </c>
      <c r="Q47" s="33">
        <v>6896.12</v>
      </c>
      <c r="R47" s="33">
        <v>9874.68</v>
      </c>
      <c r="S47" s="33">
        <v>9150.49</v>
      </c>
      <c r="T47" s="33">
        <f>+I47+J47+K47+L47+M47+N47+O47+P47+Q47+R47+S47</f>
        <v>81269.250000000015</v>
      </c>
      <c r="U47" s="128">
        <f>+G47-T47</f>
        <v>17871.749999999985</v>
      </c>
    </row>
    <row r="48" spans="1:21" ht="15.75">
      <c r="A48" s="13"/>
      <c r="B48" s="13"/>
      <c r="C48" s="17"/>
      <c r="D48" s="13"/>
      <c r="E48" s="13"/>
      <c r="F48" s="94"/>
      <c r="G48" s="32"/>
      <c r="H48" s="32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>
        <f>+I48+J48+K48+L48+M48+N48+O48+P48+Q48+R48</f>
        <v>0</v>
      </c>
      <c r="U48" s="128"/>
    </row>
    <row r="49" spans="1:21" ht="32.25" thickBot="1">
      <c r="A49" s="13">
        <v>2</v>
      </c>
      <c r="B49" s="13">
        <v>2</v>
      </c>
      <c r="C49" s="17"/>
      <c r="D49" s="13"/>
      <c r="E49" s="18"/>
      <c r="F49" s="97" t="s">
        <v>36</v>
      </c>
      <c r="G49" s="19">
        <f t="shared" ref="G49:U49" si="16">G50+G58+G62+G66+G70+G84+G92+G79+G107</f>
        <v>16074551</v>
      </c>
      <c r="H49" s="19">
        <f>H50+H58+H62+H66+H70+H84+H92+H79+H107</f>
        <v>4775833</v>
      </c>
      <c r="I49" s="20">
        <f t="shared" si="16"/>
        <v>1468604.53</v>
      </c>
      <c r="J49" s="20">
        <f>J50+J58+J62+J66+J70+J84+J92+J79+J107</f>
        <v>1993285.58</v>
      </c>
      <c r="K49" s="20">
        <f t="shared" si="16"/>
        <v>1457616.9300000002</v>
      </c>
      <c r="L49" s="20">
        <f t="shared" si="16"/>
        <v>1332599.6100000001</v>
      </c>
      <c r="M49" s="20">
        <f t="shared" si="16"/>
        <v>1840059.2000000002</v>
      </c>
      <c r="N49" s="20">
        <f t="shared" si="16"/>
        <v>1459476.86</v>
      </c>
      <c r="O49" s="20">
        <f t="shared" si="16"/>
        <v>1528311.11</v>
      </c>
      <c r="P49" s="20">
        <f t="shared" si="16"/>
        <v>1448269.3100000003</v>
      </c>
      <c r="Q49" s="20">
        <f t="shared" si="16"/>
        <v>1787547.3299999998</v>
      </c>
      <c r="R49" s="20">
        <f t="shared" si="16"/>
        <v>1401633.8900000001</v>
      </c>
      <c r="S49" s="20">
        <f t="shared" si="16"/>
        <v>1412347.7100000002</v>
      </c>
      <c r="T49" s="20">
        <f t="shared" si="16"/>
        <v>17129752.059999999</v>
      </c>
      <c r="U49" s="81">
        <f t="shared" si="16"/>
        <v>-1055201.0599999987</v>
      </c>
    </row>
    <row r="50" spans="1:21" ht="16.5" thickBot="1">
      <c r="A50" s="13">
        <v>2</v>
      </c>
      <c r="B50" s="13">
        <v>2</v>
      </c>
      <c r="C50" s="17">
        <v>1</v>
      </c>
      <c r="D50" s="13"/>
      <c r="E50" s="18"/>
      <c r="F50" s="97" t="s">
        <v>37</v>
      </c>
      <c r="G50" s="21">
        <f t="shared" ref="G50:U50" si="17">G51+G52+G53+G55</f>
        <v>1385718</v>
      </c>
      <c r="H50" s="21">
        <f t="shared" si="17"/>
        <v>0</v>
      </c>
      <c r="I50" s="26">
        <f t="shared" si="17"/>
        <v>99503.51999999999</v>
      </c>
      <c r="J50" s="26">
        <f t="shared" si="17"/>
        <v>97254.39</v>
      </c>
      <c r="K50" s="26">
        <f t="shared" si="17"/>
        <v>122843.43000000001</v>
      </c>
      <c r="L50" s="26">
        <f t="shared" si="17"/>
        <v>105311.01999999999</v>
      </c>
      <c r="M50" s="26">
        <f t="shared" si="17"/>
        <v>99791.87</v>
      </c>
      <c r="N50" s="26">
        <f t="shared" si="17"/>
        <v>101376.07</v>
      </c>
      <c r="O50" s="26">
        <f t="shared" si="17"/>
        <v>104966.05</v>
      </c>
      <c r="P50" s="26">
        <f t="shared" si="17"/>
        <v>110479.8</v>
      </c>
      <c r="Q50" s="26">
        <f t="shared" si="17"/>
        <v>106312.76000000001</v>
      </c>
      <c r="R50" s="26">
        <f t="shared" si="17"/>
        <v>118506.14000000001</v>
      </c>
      <c r="S50" s="26">
        <f t="shared" si="17"/>
        <v>114942.54000000001</v>
      </c>
      <c r="T50" s="26">
        <f t="shared" si="17"/>
        <v>1181287.5900000001</v>
      </c>
      <c r="U50" s="123">
        <f t="shared" si="17"/>
        <v>204430.40999999992</v>
      </c>
    </row>
    <row r="51" spans="1:21" ht="15.75">
      <c r="A51" s="13">
        <v>2</v>
      </c>
      <c r="B51" s="13">
        <v>2</v>
      </c>
      <c r="C51" s="17">
        <v>1</v>
      </c>
      <c r="D51" s="13">
        <v>3</v>
      </c>
      <c r="E51" s="13"/>
      <c r="F51" s="98" t="s">
        <v>38</v>
      </c>
      <c r="G51" s="31">
        <v>315600</v>
      </c>
      <c r="H51" s="31"/>
      <c r="I51" s="34">
        <f>24838.79+29779.8</f>
        <v>54618.59</v>
      </c>
      <c r="J51" s="34">
        <f>24948.3+19739.29</f>
        <v>44687.59</v>
      </c>
      <c r="K51" s="34">
        <f>22269.59+25279.8</f>
        <v>47549.39</v>
      </c>
      <c r="L51" s="34">
        <f>22902.71+32267.89</f>
        <v>55170.6</v>
      </c>
      <c r="M51" s="34">
        <f>22290.64+24763.05</f>
        <v>47053.69</v>
      </c>
      <c r="N51" s="34">
        <f>22601.31+25279.8</f>
        <v>47881.11</v>
      </c>
      <c r="O51" s="34">
        <f>22351.25+25279.8</f>
        <v>47631.05</v>
      </c>
      <c r="P51" s="34">
        <f>25279.8+24046.27</f>
        <v>49326.07</v>
      </c>
      <c r="Q51" s="34">
        <f>22823.67+25279.8</f>
        <v>48103.47</v>
      </c>
      <c r="R51" s="34">
        <f>22427.97 +25279.8+10620</f>
        <v>58327.770000000004</v>
      </c>
      <c r="S51" s="34">
        <v>52534</v>
      </c>
      <c r="T51" s="34">
        <f>+I51+J51+K51+L51+M51+N51+O51+P51+Q51+R51+S51</f>
        <v>552883.33000000007</v>
      </c>
      <c r="U51" s="129">
        <f>+G51-T51</f>
        <v>-237283.33000000007</v>
      </c>
    </row>
    <row r="52" spans="1:21" ht="15.75">
      <c r="A52" s="13">
        <v>2</v>
      </c>
      <c r="B52" s="13">
        <v>2</v>
      </c>
      <c r="C52" s="17">
        <v>1</v>
      </c>
      <c r="D52" s="13">
        <v>4</v>
      </c>
      <c r="E52" s="13"/>
      <c r="F52" s="98" t="s">
        <v>39</v>
      </c>
      <c r="G52" s="32"/>
      <c r="H52" s="32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>
        <f>+I52+J52+K52+L52+M52+N52+O52+P52+Q52+R52+S52</f>
        <v>0</v>
      </c>
      <c r="U52" s="128"/>
    </row>
    <row r="53" spans="1:21" ht="31.5">
      <c r="A53" s="13">
        <v>2</v>
      </c>
      <c r="B53" s="13">
        <v>2</v>
      </c>
      <c r="C53" s="17">
        <v>1</v>
      </c>
      <c r="D53" s="13">
        <v>5</v>
      </c>
      <c r="E53" s="13"/>
      <c r="F53" s="98" t="s">
        <v>40</v>
      </c>
      <c r="G53" s="32">
        <v>350118</v>
      </c>
      <c r="H53" s="32"/>
      <c r="I53" s="33"/>
      <c r="J53" s="33"/>
      <c r="K53" s="33">
        <f>18984+8478.74</f>
        <v>27462.739999999998</v>
      </c>
      <c r="L53" s="33"/>
      <c r="M53" s="33"/>
      <c r="N53" s="33"/>
      <c r="O53" s="33"/>
      <c r="P53" s="33"/>
      <c r="Q53" s="33"/>
      <c r="R53" s="33"/>
      <c r="S53" s="33"/>
      <c r="T53" s="33">
        <f>+I53+J53+K53+L53+M53+N53+O53+P53+Q53+R53+S53</f>
        <v>27462.739999999998</v>
      </c>
      <c r="U53" s="128">
        <f>+G53-T53</f>
        <v>322655.26</v>
      </c>
    </row>
    <row r="54" spans="1:21" ht="15.75">
      <c r="A54" s="13"/>
      <c r="B54" s="13"/>
      <c r="C54" s="17"/>
      <c r="D54" s="13"/>
      <c r="E54" s="13"/>
      <c r="F54" s="98"/>
      <c r="G54" s="32"/>
      <c r="H54" s="32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128"/>
    </row>
    <row r="55" spans="1:21" ht="16.5" thickBot="1">
      <c r="A55" s="13">
        <v>2</v>
      </c>
      <c r="B55" s="13">
        <v>2</v>
      </c>
      <c r="C55" s="17">
        <v>1</v>
      </c>
      <c r="D55" s="13">
        <v>6</v>
      </c>
      <c r="E55" s="13"/>
      <c r="F55" s="92" t="s">
        <v>41</v>
      </c>
      <c r="G55" s="19">
        <f t="shared" ref="G55:U55" si="18">G56</f>
        <v>720000</v>
      </c>
      <c r="H55" s="19">
        <f t="shared" si="18"/>
        <v>0</v>
      </c>
      <c r="I55" s="37">
        <f t="shared" si="18"/>
        <v>44884.93</v>
      </c>
      <c r="J55" s="37">
        <f t="shared" si="18"/>
        <v>52566.8</v>
      </c>
      <c r="K55" s="37">
        <f t="shared" si="18"/>
        <v>47831.3</v>
      </c>
      <c r="L55" s="37">
        <f t="shared" si="18"/>
        <v>50140.42</v>
      </c>
      <c r="M55" s="37">
        <f t="shared" si="18"/>
        <v>52738.18</v>
      </c>
      <c r="N55" s="37">
        <f t="shared" si="18"/>
        <v>53494.96</v>
      </c>
      <c r="O55" s="37">
        <f t="shared" si="18"/>
        <v>57335</v>
      </c>
      <c r="P55" s="37">
        <f t="shared" si="18"/>
        <v>61153.73</v>
      </c>
      <c r="Q55" s="37">
        <f t="shared" si="18"/>
        <v>58209.29</v>
      </c>
      <c r="R55" s="37">
        <f t="shared" si="18"/>
        <v>60178.37</v>
      </c>
      <c r="S55" s="37">
        <f t="shared" si="18"/>
        <v>62408.54</v>
      </c>
      <c r="T55" s="37">
        <f t="shared" si="18"/>
        <v>600941.52</v>
      </c>
      <c r="U55" s="132">
        <f t="shared" si="18"/>
        <v>119058.47999999998</v>
      </c>
    </row>
    <row r="56" spans="1:21" ht="15.75">
      <c r="A56" s="13">
        <v>2</v>
      </c>
      <c r="B56" s="13">
        <v>2</v>
      </c>
      <c r="C56" s="17">
        <v>1</v>
      </c>
      <c r="D56" s="13">
        <v>6</v>
      </c>
      <c r="E56" s="13">
        <v>1</v>
      </c>
      <c r="F56" s="98" t="s">
        <v>42</v>
      </c>
      <c r="G56" s="31">
        <v>720000</v>
      </c>
      <c r="H56" s="32"/>
      <c r="I56" s="33">
        <v>44884.93</v>
      </c>
      <c r="J56" s="34">
        <v>52566.8</v>
      </c>
      <c r="K56" s="34">
        <v>47831.3</v>
      </c>
      <c r="L56" s="34">
        <v>50140.42</v>
      </c>
      <c r="M56" s="34">
        <v>52738.18</v>
      </c>
      <c r="N56" s="34">
        <v>53494.96</v>
      </c>
      <c r="O56" s="34">
        <v>57335</v>
      </c>
      <c r="P56" s="34">
        <v>61153.73</v>
      </c>
      <c r="Q56" s="34">
        <v>58209.29</v>
      </c>
      <c r="R56" s="34">
        <v>60178.37</v>
      </c>
      <c r="S56" s="34">
        <v>62408.54</v>
      </c>
      <c r="T56" s="34">
        <f>+I56+J56+K56+L56+M56+N56+O56+P56+Q56+R56+S56</f>
        <v>600941.52</v>
      </c>
      <c r="U56" s="129">
        <f>+G56-T56</f>
        <v>119058.47999999998</v>
      </c>
    </row>
    <row r="57" spans="1:21" ht="15.75">
      <c r="A57" s="13"/>
      <c r="B57" s="13"/>
      <c r="C57" s="17"/>
      <c r="D57" s="13"/>
      <c r="E57" s="13"/>
      <c r="F57" s="98"/>
      <c r="G57" s="32"/>
      <c r="H57" s="32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128"/>
    </row>
    <row r="58" spans="1:21" ht="48" thickBot="1">
      <c r="A58" s="13">
        <v>2</v>
      </c>
      <c r="B58" s="13">
        <v>2</v>
      </c>
      <c r="C58" s="17">
        <v>2</v>
      </c>
      <c r="D58" s="13"/>
      <c r="E58" s="13"/>
      <c r="F58" s="92" t="s">
        <v>43</v>
      </c>
      <c r="G58" s="19">
        <f>SUM(G59:G60)</f>
        <v>160500</v>
      </c>
      <c r="H58" s="19">
        <f>SUM(H59:H60)</f>
        <v>0</v>
      </c>
      <c r="I58" s="26">
        <f>I59+I60</f>
        <v>7382</v>
      </c>
      <c r="J58" s="19">
        <f t="shared" ref="J58" si="19">SUM(J59:J60)</f>
        <v>160000</v>
      </c>
      <c r="K58" s="20">
        <f>K59+K60</f>
        <v>3525</v>
      </c>
      <c r="L58" s="20">
        <f t="shared" ref="L58:S58" si="20">L59+L60</f>
        <v>0</v>
      </c>
      <c r="M58" s="20">
        <f t="shared" si="20"/>
        <v>355705</v>
      </c>
      <c r="N58" s="20">
        <f t="shared" si="20"/>
        <v>0</v>
      </c>
      <c r="O58" s="20">
        <f t="shared" si="20"/>
        <v>0</v>
      </c>
      <c r="P58" s="20">
        <f t="shared" si="20"/>
        <v>0</v>
      </c>
      <c r="Q58" s="20">
        <f t="shared" si="20"/>
        <v>28953.599999999999</v>
      </c>
      <c r="R58" s="20">
        <f t="shared" si="20"/>
        <v>28913.98</v>
      </c>
      <c r="S58" s="20">
        <f t="shared" si="20"/>
        <v>0</v>
      </c>
      <c r="T58" s="133">
        <f>T59+T60</f>
        <v>584479.57999999996</v>
      </c>
      <c r="U58" s="134">
        <f>U59+U60</f>
        <v>-423979.57999999996</v>
      </c>
    </row>
    <row r="59" spans="1:21" ht="31.5">
      <c r="A59" s="13">
        <v>2</v>
      </c>
      <c r="B59" s="13">
        <v>2</v>
      </c>
      <c r="C59" s="17">
        <v>2</v>
      </c>
      <c r="D59" s="13">
        <v>1</v>
      </c>
      <c r="E59" s="13"/>
      <c r="F59" s="94" t="s">
        <v>44</v>
      </c>
      <c r="G59" s="31">
        <v>160500</v>
      </c>
      <c r="H59" s="31"/>
      <c r="I59" s="34">
        <v>3100</v>
      </c>
      <c r="J59" s="33">
        <v>160000</v>
      </c>
      <c r="K59" s="33">
        <v>3450</v>
      </c>
      <c r="L59" s="33"/>
      <c r="M59" s="33"/>
      <c r="N59" s="33"/>
      <c r="O59" s="33"/>
      <c r="P59" s="33"/>
      <c r="Q59" s="33"/>
      <c r="R59" s="33"/>
      <c r="S59" s="33"/>
      <c r="T59" s="33">
        <f>+I59+J59+K59+L59+M59+N59+O59+P59+Q59+R59+S59</f>
        <v>166550</v>
      </c>
      <c r="U59" s="128">
        <f>+G59-T59</f>
        <v>-6050</v>
      </c>
    </row>
    <row r="60" spans="1:21" ht="31.5">
      <c r="A60" s="13">
        <v>2</v>
      </c>
      <c r="B60" s="13">
        <v>2</v>
      </c>
      <c r="C60" s="17">
        <v>2</v>
      </c>
      <c r="D60" s="13">
        <v>2</v>
      </c>
      <c r="E60" s="13"/>
      <c r="F60" s="94" t="s">
        <v>45</v>
      </c>
      <c r="G60" s="32"/>
      <c r="H60" s="32"/>
      <c r="I60" s="33">
        <v>4282</v>
      </c>
      <c r="J60" s="33"/>
      <c r="K60" s="33">
        <v>75</v>
      </c>
      <c r="L60" s="33"/>
      <c r="M60" s="33">
        <f>318007+37698</f>
        <v>355705</v>
      </c>
      <c r="N60" s="33"/>
      <c r="O60" s="33"/>
      <c r="P60" s="33"/>
      <c r="Q60" s="33">
        <f>12484.4+12484.4+1436+2548.8</f>
        <v>28953.599999999999</v>
      </c>
      <c r="R60" s="33">
        <f>19470+9443.98</f>
        <v>28913.98</v>
      </c>
      <c r="S60" s="33"/>
      <c r="T60" s="33">
        <f>+I60+J60+K60+L60+M60+N60+O60+P60+Q60+R60+S60</f>
        <v>417929.57999999996</v>
      </c>
      <c r="U60" s="128">
        <f>+G60-T60</f>
        <v>-417929.57999999996</v>
      </c>
    </row>
    <row r="61" spans="1:21" ht="15.75">
      <c r="A61" s="13"/>
      <c r="B61" s="13"/>
      <c r="C61" s="17"/>
      <c r="D61" s="13"/>
      <c r="E61" s="13"/>
      <c r="F61" s="98"/>
      <c r="G61" s="32"/>
      <c r="H61" s="32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128"/>
    </row>
    <row r="62" spans="1:21" ht="16.5" thickBot="1">
      <c r="A62" s="13">
        <v>2</v>
      </c>
      <c r="B62" s="13">
        <v>2</v>
      </c>
      <c r="C62" s="17">
        <v>3</v>
      </c>
      <c r="D62" s="13"/>
      <c r="E62" s="13"/>
      <c r="F62" s="92" t="s">
        <v>46</v>
      </c>
      <c r="G62" s="19">
        <f t="shared" ref="G62:U62" si="21">G63+G64</f>
        <v>1320000</v>
      </c>
      <c r="H62" s="19">
        <f t="shared" si="21"/>
        <v>0</v>
      </c>
      <c r="I62" s="20">
        <f t="shared" si="21"/>
        <v>140425.9</v>
      </c>
      <c r="J62" s="20">
        <f t="shared" si="21"/>
        <v>166019.91999999998</v>
      </c>
      <c r="K62" s="20">
        <f t="shared" si="21"/>
        <v>163623.79999999999</v>
      </c>
      <c r="L62" s="20">
        <f t="shared" si="21"/>
        <v>116340</v>
      </c>
      <c r="M62" s="20">
        <f t="shared" si="21"/>
        <v>151740</v>
      </c>
      <c r="N62" s="20">
        <f t="shared" si="21"/>
        <v>138080</v>
      </c>
      <c r="O62" s="20">
        <f t="shared" si="21"/>
        <v>126680</v>
      </c>
      <c r="P62" s="20">
        <f t="shared" si="21"/>
        <v>143000</v>
      </c>
      <c r="Q62" s="20">
        <f>Q63+Q64</f>
        <v>138710</v>
      </c>
      <c r="R62" s="20">
        <f>R63+R64</f>
        <v>119998.7</v>
      </c>
      <c r="S62" s="20">
        <f>S63+S64</f>
        <v>0</v>
      </c>
      <c r="T62" s="20">
        <f t="shared" si="21"/>
        <v>1404618.3199999998</v>
      </c>
      <c r="U62" s="81">
        <f t="shared" si="21"/>
        <v>-84618.319999999949</v>
      </c>
    </row>
    <row r="63" spans="1:21" ht="15.75">
      <c r="A63" s="13">
        <v>2</v>
      </c>
      <c r="B63" s="13">
        <v>2</v>
      </c>
      <c r="C63" s="17">
        <v>3</v>
      </c>
      <c r="D63" s="13">
        <v>1</v>
      </c>
      <c r="E63" s="40"/>
      <c r="F63" s="94" t="s">
        <v>47</v>
      </c>
      <c r="G63" s="41">
        <v>1320000</v>
      </c>
      <c r="H63" s="41"/>
      <c r="I63" s="36">
        <f>2800+4800+4800+5280+4800+4763.9+7200+5760+5600+4800+4000+4000+5500+5500+7260+6600+4622+6600+4400+8640+7200+9900+7200+8400</f>
        <v>140425.9</v>
      </c>
      <c r="J63" s="36">
        <f>6600+6600+4400+6600+5500+5157+7920+5500+7700+3300+6600+9900+4800+4000+7200+4200+5760+5940+4800+4000+3479+3200+5600+4800</f>
        <v>133556</v>
      </c>
      <c r="K63" s="36">
        <f>7920+5000+6600+6050+7700+9900+6600+4950+6600+4800+5183.8+5500+6000+8580+6000+4800+6000+7200+8400+6000+7200+7200+8640+10800</f>
        <v>163623.79999999999</v>
      </c>
      <c r="L63" s="36">
        <f>5280+1500+4800+1500+4800+4000+4800+4800+5760+7200+4000+3600+6000+6000+6000+9000+7000+6600+5000+6000+5000+5000+2700</f>
        <v>116340</v>
      </c>
      <c r="M63" s="36">
        <f>6000+6000+7000+7200+6000+5500+9000+5000+5000+2400+5000+6600+1000+6000+6000+7920+10800+6600+6000+7200+8400+7200+6000+7920</f>
        <v>151740</v>
      </c>
      <c r="N63" s="36">
        <f>4000+4900+5760+5400+4500+4500+5400+7200+4000+5400+5940+5400+1500+6600+6600+6600+4000+7260+7920+5500+5500+9900+7700+6600</f>
        <v>138080</v>
      </c>
      <c r="O63" s="36">
        <f>9000+5000+6000+7200+6000+6000+3300+7000+4500+6000+7700+7920+6600+9000+7260+6600+5500+6000+3500+6600</f>
        <v>126680</v>
      </c>
      <c r="P63" s="36">
        <f>6500+6300+8100+5940+5400+5400+4500+5400+4500+5400+4500+6480+6600+5000+5500+7700+6600+6660+7920+6600+9900+6600+5500</f>
        <v>143000</v>
      </c>
      <c r="Q63" s="36">
        <f>6600+7260+6600+7700+5500+5500+9900+5500+7920+6600+6600+1000+1800+6600+5400+6000+5000+4500+6000+1700+2500+7200+8100+4500</f>
        <v>135980</v>
      </c>
      <c r="R63" s="36">
        <v>500</v>
      </c>
      <c r="S63" s="36"/>
      <c r="T63" s="36">
        <f>+I63+J63+K63+L63+M63+N63+O63+P63+Q63+R63+S63</f>
        <v>1249925.7</v>
      </c>
      <c r="U63" s="125">
        <f t="shared" ref="U63:U69" si="22">+G63-T63</f>
        <v>70074.300000000047</v>
      </c>
    </row>
    <row r="64" spans="1:21" ht="15.75">
      <c r="A64" s="13">
        <v>2</v>
      </c>
      <c r="B64" s="13">
        <v>2</v>
      </c>
      <c r="C64" s="17">
        <v>3</v>
      </c>
      <c r="D64" s="13">
        <v>2</v>
      </c>
      <c r="E64" s="40"/>
      <c r="F64" s="94" t="s">
        <v>48</v>
      </c>
      <c r="G64" s="32"/>
      <c r="H64" s="32"/>
      <c r="I64" s="33"/>
      <c r="J64" s="33">
        <v>32463.919999999998</v>
      </c>
      <c r="K64" s="33"/>
      <c r="L64" s="33"/>
      <c r="M64" s="33"/>
      <c r="N64" s="33"/>
      <c r="O64" s="33"/>
      <c r="P64" s="33"/>
      <c r="Q64" s="33">
        <v>2730</v>
      </c>
      <c r="R64" s="33">
        <v>119498.7</v>
      </c>
      <c r="S64" s="33"/>
      <c r="T64" s="33">
        <f>+I64+J64+K64+L64+M64+N64+O64+P64+Q64+R64+S64</f>
        <v>154692.62</v>
      </c>
      <c r="U64" s="128">
        <f t="shared" si="22"/>
        <v>-154692.62</v>
      </c>
    </row>
    <row r="65" spans="1:21" ht="15.75">
      <c r="A65" s="13"/>
      <c r="B65" s="13"/>
      <c r="C65" s="17"/>
      <c r="D65" s="13"/>
      <c r="E65" s="13"/>
      <c r="F65" s="94"/>
      <c r="G65" s="32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128">
        <f t="shared" si="22"/>
        <v>0</v>
      </c>
    </row>
    <row r="66" spans="1:21" ht="32.25" thickBot="1">
      <c r="A66" s="13">
        <v>2</v>
      </c>
      <c r="B66" s="13">
        <v>2</v>
      </c>
      <c r="C66" s="17">
        <v>4</v>
      </c>
      <c r="D66" s="13"/>
      <c r="E66" s="13"/>
      <c r="F66" s="92" t="s">
        <v>49</v>
      </c>
      <c r="G66" s="19">
        <f t="shared" ref="G66:S66" si="23">G67+G68</f>
        <v>0</v>
      </c>
      <c r="H66" s="19">
        <f t="shared" si="23"/>
        <v>0</v>
      </c>
      <c r="I66" s="20">
        <f t="shared" si="23"/>
        <v>1170</v>
      </c>
      <c r="J66" s="20">
        <f t="shared" si="23"/>
        <v>230466.47</v>
      </c>
      <c r="K66" s="20">
        <f t="shared" si="23"/>
        <v>900</v>
      </c>
      <c r="L66" s="20">
        <f t="shared" si="23"/>
        <v>0</v>
      </c>
      <c r="M66" s="20">
        <f t="shared" si="23"/>
        <v>2100</v>
      </c>
      <c r="N66" s="20">
        <f t="shared" si="23"/>
        <v>400</v>
      </c>
      <c r="O66" s="20">
        <f t="shared" si="23"/>
        <v>750</v>
      </c>
      <c r="P66" s="20">
        <f t="shared" si="23"/>
        <v>540</v>
      </c>
      <c r="Q66" s="20">
        <f t="shared" si="23"/>
        <v>0</v>
      </c>
      <c r="R66" s="20">
        <f t="shared" si="23"/>
        <v>0</v>
      </c>
      <c r="S66" s="20">
        <f t="shared" si="23"/>
        <v>0</v>
      </c>
      <c r="T66" s="20">
        <f>T67+T68</f>
        <v>236326.47</v>
      </c>
      <c r="U66" s="81">
        <f t="shared" si="22"/>
        <v>-236326.47</v>
      </c>
    </row>
    <row r="67" spans="1:21" ht="15.75">
      <c r="A67" s="13">
        <v>2</v>
      </c>
      <c r="B67" s="13">
        <v>2</v>
      </c>
      <c r="C67" s="17">
        <v>4</v>
      </c>
      <c r="D67" s="13">
        <v>1</v>
      </c>
      <c r="E67" s="13"/>
      <c r="F67" s="94" t="s">
        <v>50</v>
      </c>
      <c r="G67" s="31"/>
      <c r="H67" s="32"/>
      <c r="I67" s="33">
        <f>240+500+430</f>
        <v>1170</v>
      </c>
      <c r="J67" s="33">
        <f>220981.47+1000+500+125+360+7500</f>
        <v>230466.47</v>
      </c>
      <c r="K67" s="135">
        <f>250+300+200+150</f>
        <v>900</v>
      </c>
      <c r="L67" s="135"/>
      <c r="M67" s="135">
        <f>550+300+250+1000</f>
        <v>2100</v>
      </c>
      <c r="N67" s="135">
        <f>300+100</f>
        <v>400</v>
      </c>
      <c r="O67" s="135">
        <f>150+600</f>
        <v>750</v>
      </c>
      <c r="P67" s="135">
        <v>540</v>
      </c>
      <c r="Q67" s="33"/>
      <c r="R67" s="33"/>
      <c r="S67" s="33"/>
      <c r="T67" s="33">
        <f>+I67+J67+K67+L67+M67+N67+O67+P67+Q67+R67+S67</f>
        <v>236326.47</v>
      </c>
      <c r="U67" s="128">
        <f t="shared" si="22"/>
        <v>-236326.47</v>
      </c>
    </row>
    <row r="68" spans="1:21" ht="15.75">
      <c r="A68" s="13">
        <v>2</v>
      </c>
      <c r="B68" s="13">
        <v>2</v>
      </c>
      <c r="C68" s="17">
        <v>4</v>
      </c>
      <c r="D68" s="13">
        <v>3</v>
      </c>
      <c r="E68" s="13"/>
      <c r="F68" s="94" t="s">
        <v>51</v>
      </c>
      <c r="G68" s="32"/>
      <c r="H68" s="32"/>
      <c r="I68" s="33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>
        <f>+J68+K68+L68+M68+N68+I68+O68+P68+Q68+R68+S68</f>
        <v>0</v>
      </c>
      <c r="U68" s="128">
        <f t="shared" si="22"/>
        <v>0</v>
      </c>
    </row>
    <row r="69" spans="1:21" ht="15.75">
      <c r="A69" s="13"/>
      <c r="B69" s="13"/>
      <c r="C69" s="17"/>
      <c r="D69" s="13"/>
      <c r="E69" s="13"/>
      <c r="F69" s="94"/>
      <c r="G69" s="32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128">
        <f t="shared" si="22"/>
        <v>0</v>
      </c>
    </row>
    <row r="70" spans="1:21" ht="16.5" thickBot="1">
      <c r="A70" s="13">
        <v>2</v>
      </c>
      <c r="B70" s="13">
        <v>2</v>
      </c>
      <c r="C70" s="17">
        <v>5</v>
      </c>
      <c r="D70" s="13"/>
      <c r="E70" s="13"/>
      <c r="F70" s="92" t="s">
        <v>52</v>
      </c>
      <c r="G70" s="19">
        <f>G71+G76</f>
        <v>8800384</v>
      </c>
      <c r="H70" s="19">
        <f>H71+H76</f>
        <v>0</v>
      </c>
      <c r="I70" s="26">
        <f t="shared" ref="I70:U70" si="24">I73+I71</f>
        <v>747472.03</v>
      </c>
      <c r="J70" s="26">
        <f t="shared" si="24"/>
        <v>752827.45</v>
      </c>
      <c r="K70" s="26">
        <f t="shared" si="24"/>
        <v>737953.5</v>
      </c>
      <c r="L70" s="26">
        <f t="shared" si="24"/>
        <v>730342.89999999991</v>
      </c>
      <c r="M70" s="26">
        <f t="shared" si="24"/>
        <v>726027.93</v>
      </c>
      <c r="N70" s="26">
        <f t="shared" si="24"/>
        <v>726892.78</v>
      </c>
      <c r="O70" s="26">
        <f t="shared" si="24"/>
        <v>737779.19999999995</v>
      </c>
      <c r="P70" s="26">
        <f t="shared" si="24"/>
        <v>748490.04</v>
      </c>
      <c r="Q70" s="26">
        <f t="shared" si="24"/>
        <v>755884.1</v>
      </c>
      <c r="R70" s="26">
        <f t="shared" si="24"/>
        <v>756825.52</v>
      </c>
      <c r="S70" s="26">
        <f t="shared" si="24"/>
        <v>774834.85</v>
      </c>
      <c r="T70" s="26">
        <f>T73+T71</f>
        <v>8195330.2999999989</v>
      </c>
      <c r="U70" s="123">
        <f t="shared" si="24"/>
        <v>605053.70000000112</v>
      </c>
    </row>
    <row r="71" spans="1:21" ht="31.5">
      <c r="A71" s="13">
        <v>2</v>
      </c>
      <c r="B71" s="13">
        <v>2</v>
      </c>
      <c r="C71" s="17">
        <v>5</v>
      </c>
      <c r="D71" s="13">
        <v>1</v>
      </c>
      <c r="E71" s="13"/>
      <c r="F71" s="98" t="s">
        <v>53</v>
      </c>
      <c r="G71" s="31">
        <v>8686396</v>
      </c>
      <c r="H71" s="31"/>
      <c r="I71" s="34">
        <f>722696.37+16515.66</f>
        <v>739212.03</v>
      </c>
      <c r="J71" s="34">
        <f>727932.13+16635.32</f>
        <v>744567.45</v>
      </c>
      <c r="K71" s="34">
        <f>16303+713390.5</f>
        <v>729693.5</v>
      </c>
      <c r="L71" s="34">
        <f>705949.94+16132.96</f>
        <v>722082.89999999991</v>
      </c>
      <c r="M71" s="34">
        <f>16036.55+701731.38</f>
        <v>717767.93</v>
      </c>
      <c r="N71" s="34">
        <f>16055.88+702576.9</f>
        <v>718632.78</v>
      </c>
      <c r="O71" s="34">
        <f>713220.1+16299.1</f>
        <v>729519.2</v>
      </c>
      <c r="P71" s="34">
        <f>16538.41+723691.63</f>
        <v>740230.04</v>
      </c>
      <c r="Q71" s="34">
        <f>16703.61+730920.49</f>
        <v>747624.1</v>
      </c>
      <c r="R71" s="34">
        <f>731840.88+16724.64</f>
        <v>748565.52</v>
      </c>
      <c r="S71" s="34">
        <f>749856.46+16718.39</f>
        <v>766574.85</v>
      </c>
      <c r="T71" s="34">
        <f>+I71+J71+K71+L71+M71+N71+O71+P71+Q71+R71+S71</f>
        <v>8104470.2999999989</v>
      </c>
      <c r="U71" s="129">
        <f>+G71-T71</f>
        <v>581925.70000000112</v>
      </c>
    </row>
    <row r="72" spans="1:21" ht="15.75">
      <c r="A72" s="13"/>
      <c r="B72" s="13"/>
      <c r="C72" s="17"/>
      <c r="D72" s="13"/>
      <c r="E72" s="40"/>
      <c r="F72" s="94"/>
      <c r="G72" s="32"/>
      <c r="H72" s="32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128"/>
    </row>
    <row r="73" spans="1:21" ht="32.25" thickBot="1">
      <c r="A73" s="13">
        <v>2</v>
      </c>
      <c r="B73" s="13">
        <v>2</v>
      </c>
      <c r="C73" s="17">
        <v>5</v>
      </c>
      <c r="D73" s="13">
        <v>3</v>
      </c>
      <c r="E73" s="18"/>
      <c r="F73" s="92" t="s">
        <v>54</v>
      </c>
      <c r="G73" s="19">
        <f t="shared" ref="G73:U73" si="25">G74+G75+G76</f>
        <v>113988</v>
      </c>
      <c r="H73" s="19">
        <f t="shared" si="25"/>
        <v>0</v>
      </c>
      <c r="I73" s="20">
        <f t="shared" si="25"/>
        <v>8260</v>
      </c>
      <c r="J73" s="20">
        <f>J74+J75+J76</f>
        <v>8260</v>
      </c>
      <c r="K73" s="20">
        <f t="shared" si="25"/>
        <v>8260</v>
      </c>
      <c r="L73" s="20">
        <f t="shared" si="25"/>
        <v>8260</v>
      </c>
      <c r="M73" s="20">
        <f t="shared" si="25"/>
        <v>8260</v>
      </c>
      <c r="N73" s="20">
        <f t="shared" si="25"/>
        <v>8260</v>
      </c>
      <c r="O73" s="20">
        <f t="shared" si="25"/>
        <v>8260</v>
      </c>
      <c r="P73" s="20">
        <f t="shared" si="25"/>
        <v>8260</v>
      </c>
      <c r="Q73" s="20">
        <f t="shared" si="25"/>
        <v>8260</v>
      </c>
      <c r="R73" s="20">
        <f t="shared" si="25"/>
        <v>8260</v>
      </c>
      <c r="S73" s="20">
        <f t="shared" si="25"/>
        <v>8260</v>
      </c>
      <c r="T73" s="20">
        <f t="shared" si="25"/>
        <v>90860</v>
      </c>
      <c r="U73" s="81">
        <f t="shared" si="25"/>
        <v>23128</v>
      </c>
    </row>
    <row r="74" spans="1:21" ht="31.5">
      <c r="A74" s="13">
        <v>2</v>
      </c>
      <c r="B74" s="13">
        <v>2</v>
      </c>
      <c r="C74" s="17">
        <v>5</v>
      </c>
      <c r="D74" s="13">
        <v>3</v>
      </c>
      <c r="E74" s="13">
        <v>2</v>
      </c>
      <c r="F74" s="98" t="s">
        <v>55</v>
      </c>
      <c r="G74" s="31"/>
      <c r="H74" s="32"/>
      <c r="I74" s="33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>
        <f>+I74+J74+K74+L74+M74+N74+O74+P74+Q74+R74+S74</f>
        <v>0</v>
      </c>
      <c r="U74" s="128">
        <f>+G74-T74</f>
        <v>0</v>
      </c>
    </row>
    <row r="75" spans="1:21" ht="31.5">
      <c r="A75" s="13">
        <v>2</v>
      </c>
      <c r="B75" s="13">
        <v>2</v>
      </c>
      <c r="C75" s="17">
        <v>5</v>
      </c>
      <c r="D75" s="13">
        <v>3</v>
      </c>
      <c r="E75" s="13">
        <v>3</v>
      </c>
      <c r="F75" s="98" t="s">
        <v>56</v>
      </c>
      <c r="G75" s="32"/>
      <c r="H75" s="32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>
        <f>+I75+J75+K75+L75+M75+N75+O75+P75+Q75+R75+S75</f>
        <v>0</v>
      </c>
      <c r="U75" s="128">
        <f>+G75-T75</f>
        <v>0</v>
      </c>
    </row>
    <row r="76" spans="1:21" ht="31.5">
      <c r="A76" s="13">
        <v>2</v>
      </c>
      <c r="B76" s="13">
        <v>2</v>
      </c>
      <c r="C76" s="17">
        <v>5</v>
      </c>
      <c r="D76" s="13">
        <v>3</v>
      </c>
      <c r="E76" s="13">
        <v>4</v>
      </c>
      <c r="F76" s="98" t="s">
        <v>57</v>
      </c>
      <c r="G76" s="32">
        <v>113988</v>
      </c>
      <c r="H76" s="32"/>
      <c r="I76" s="33">
        <v>8260</v>
      </c>
      <c r="J76" s="59">
        <v>8260</v>
      </c>
      <c r="K76" s="59">
        <v>8260</v>
      </c>
      <c r="L76" s="59">
        <v>8260</v>
      </c>
      <c r="M76" s="59">
        <v>8260</v>
      </c>
      <c r="N76" s="59">
        <v>8260</v>
      </c>
      <c r="O76" s="59">
        <v>8260</v>
      </c>
      <c r="P76" s="59">
        <v>8260</v>
      </c>
      <c r="Q76" s="59">
        <v>8260</v>
      </c>
      <c r="R76" s="59">
        <v>8260</v>
      </c>
      <c r="S76" s="59">
        <v>8260</v>
      </c>
      <c r="T76" s="33">
        <f>+I76+J76+K76+L76+M76+N76+O76+P76+Q76+R76+S76</f>
        <v>90860</v>
      </c>
      <c r="U76" s="128">
        <f>+G76-T76</f>
        <v>23128</v>
      </c>
    </row>
    <row r="77" spans="1:21" ht="15.75">
      <c r="A77" s="13"/>
      <c r="B77" s="13"/>
      <c r="C77" s="17"/>
      <c r="D77" s="13"/>
      <c r="E77" s="13"/>
      <c r="F77" s="98"/>
      <c r="G77" s="32"/>
      <c r="H77" s="32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128"/>
    </row>
    <row r="78" spans="1:21" ht="16.5" thickBot="1">
      <c r="A78" s="13"/>
      <c r="B78" s="13"/>
      <c r="C78" s="17"/>
      <c r="D78" s="13"/>
      <c r="E78" s="13"/>
      <c r="F78" s="98"/>
      <c r="G78" s="32"/>
      <c r="H78" s="32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128"/>
    </row>
    <row r="79" spans="1:21" s="2" customFormat="1" ht="16.5" thickBot="1">
      <c r="A79" s="13">
        <v>2</v>
      </c>
      <c r="B79" s="13">
        <v>2</v>
      </c>
      <c r="C79" s="17">
        <v>6</v>
      </c>
      <c r="D79" s="13"/>
      <c r="E79" s="13"/>
      <c r="F79" s="98" t="s">
        <v>58</v>
      </c>
      <c r="G79" s="21">
        <f t="shared" ref="G79:U79" si="26">G81+G80</f>
        <v>1721149</v>
      </c>
      <c r="H79" s="21">
        <f t="shared" si="26"/>
        <v>260000</v>
      </c>
      <c r="I79" s="22">
        <f t="shared" si="26"/>
        <v>115067.34</v>
      </c>
      <c r="J79" s="22">
        <f t="shared" si="26"/>
        <v>105567</v>
      </c>
      <c r="K79" s="22">
        <f t="shared" si="26"/>
        <v>104873.85</v>
      </c>
      <c r="L79" s="22">
        <f t="shared" si="26"/>
        <v>101284.83</v>
      </c>
      <c r="M79" s="22">
        <f>M81+M80</f>
        <v>206258.3</v>
      </c>
      <c r="N79" s="22">
        <f t="shared" si="26"/>
        <v>113934.58</v>
      </c>
      <c r="O79" s="22">
        <f t="shared" si="26"/>
        <v>113934.58</v>
      </c>
      <c r="P79" s="22">
        <f t="shared" si="26"/>
        <v>113934.58</v>
      </c>
      <c r="Q79" s="22">
        <f t="shared" si="26"/>
        <v>113934.58</v>
      </c>
      <c r="R79" s="22">
        <f t="shared" si="26"/>
        <v>111206.7</v>
      </c>
      <c r="S79" s="22">
        <f t="shared" si="26"/>
        <v>112025.61</v>
      </c>
      <c r="T79" s="22">
        <f t="shared" si="26"/>
        <v>1312021.95</v>
      </c>
      <c r="U79" s="130">
        <f t="shared" si="26"/>
        <v>409127.05000000005</v>
      </c>
    </row>
    <row r="80" spans="1:21" ht="32.25" thickBot="1">
      <c r="A80" s="42">
        <v>2</v>
      </c>
      <c r="B80" s="42">
        <v>2</v>
      </c>
      <c r="C80" s="43">
        <v>6</v>
      </c>
      <c r="D80" s="42">
        <v>2</v>
      </c>
      <c r="E80" s="42">
        <v>1</v>
      </c>
      <c r="F80" s="99" t="s">
        <v>113</v>
      </c>
      <c r="G80" s="61">
        <v>91078</v>
      </c>
      <c r="H80" s="61"/>
      <c r="I80" s="24"/>
      <c r="J80" s="24"/>
      <c r="K80" s="24"/>
      <c r="L80" s="24"/>
      <c r="M80" s="24">
        <v>92323.72</v>
      </c>
      <c r="N80" s="24"/>
      <c r="O80" s="24"/>
      <c r="P80" s="24"/>
      <c r="Q80" s="24"/>
      <c r="R80" s="24"/>
      <c r="S80" s="24"/>
      <c r="T80" s="136">
        <f>+I80+J80+K80+L80+M80+N80+O80+P80+Q80+R80+S80</f>
        <v>92323.72</v>
      </c>
      <c r="U80" s="131">
        <f>+G80-T80</f>
        <v>-1245.7200000000012</v>
      </c>
    </row>
    <row r="81" spans="1:21" ht="15.75">
      <c r="A81" s="13">
        <v>2</v>
      </c>
      <c r="B81" s="13">
        <v>2</v>
      </c>
      <c r="C81" s="17">
        <v>6</v>
      </c>
      <c r="D81" s="13">
        <v>3</v>
      </c>
      <c r="E81" s="13">
        <v>1</v>
      </c>
      <c r="F81" s="98" t="s">
        <v>59</v>
      </c>
      <c r="G81" s="32">
        <v>1630071</v>
      </c>
      <c r="H81" s="32">
        <v>260000</v>
      </c>
      <c r="I81" s="33">
        <v>115067.34</v>
      </c>
      <c r="J81" s="33">
        <v>105567</v>
      </c>
      <c r="K81" s="33">
        <v>104873.85</v>
      </c>
      <c r="L81" s="33">
        <v>101284.83</v>
      </c>
      <c r="M81" s="33">
        <v>113934.58</v>
      </c>
      <c r="N81" s="33">
        <v>113934.58</v>
      </c>
      <c r="O81" s="33">
        <v>113934.58</v>
      </c>
      <c r="P81" s="33">
        <v>113934.58</v>
      </c>
      <c r="Q81" s="33">
        <v>113934.58</v>
      </c>
      <c r="R81" s="33">
        <v>111206.7</v>
      </c>
      <c r="S81" s="33">
        <v>112025.61</v>
      </c>
      <c r="T81" s="33">
        <f>+I81+J81+K81+L81+M81+N81+O81+P81+Q81+R81+S81</f>
        <v>1219698.23</v>
      </c>
      <c r="U81" s="128">
        <f>+G81-T81</f>
        <v>410372.77</v>
      </c>
    </row>
    <row r="82" spans="1:21" ht="15.75">
      <c r="A82" s="13"/>
      <c r="B82" s="13"/>
      <c r="C82" s="17"/>
      <c r="D82" s="13"/>
      <c r="E82" s="13"/>
      <c r="F82" s="98"/>
      <c r="G82" s="32"/>
      <c r="H82" s="32"/>
      <c r="I82" s="33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>
        <f>+J82+I82+K82+L82+M82+N82+O82+P82+Q82+R82</f>
        <v>0</v>
      </c>
      <c r="U82" s="128">
        <v>0</v>
      </c>
    </row>
    <row r="83" spans="1:21" ht="15.75">
      <c r="A83" s="13"/>
      <c r="B83" s="13"/>
      <c r="C83" s="17"/>
      <c r="D83" s="13"/>
      <c r="E83" s="13"/>
      <c r="F83" s="98"/>
      <c r="G83" s="32"/>
      <c r="H83" s="32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128"/>
    </row>
    <row r="84" spans="1:21" ht="63.75" thickBot="1">
      <c r="A84" s="13">
        <v>2</v>
      </c>
      <c r="B84" s="13">
        <v>2</v>
      </c>
      <c r="C84" s="17">
        <v>7</v>
      </c>
      <c r="D84" s="13"/>
      <c r="E84" s="18"/>
      <c r="F84" s="92" t="s">
        <v>60</v>
      </c>
      <c r="G84" s="25">
        <f>G85</f>
        <v>218000</v>
      </c>
      <c r="H84" s="25">
        <f>H85</f>
        <v>0</v>
      </c>
      <c r="I84" s="26">
        <f>SUM(I87:I91)</f>
        <v>8333</v>
      </c>
      <c r="J84" s="26">
        <f>SUM(J86:J91)</f>
        <v>24521</v>
      </c>
      <c r="K84" s="26">
        <f t="shared" ref="K84:S84" si="27">SUM(K86:K91)</f>
        <v>0</v>
      </c>
      <c r="L84" s="26">
        <f t="shared" si="27"/>
        <v>0</v>
      </c>
      <c r="M84" s="26">
        <f t="shared" si="27"/>
        <v>8474.58</v>
      </c>
      <c r="N84" s="26">
        <f t="shared" si="27"/>
        <v>600</v>
      </c>
      <c r="O84" s="26">
        <f t="shared" si="27"/>
        <v>53122</v>
      </c>
      <c r="P84" s="26">
        <f t="shared" si="27"/>
        <v>21378.299999999996</v>
      </c>
      <c r="Q84" s="26">
        <f t="shared" si="27"/>
        <v>1100</v>
      </c>
      <c r="R84" s="26">
        <f t="shared" si="27"/>
        <v>1800</v>
      </c>
      <c r="S84" s="26">
        <f t="shared" si="27"/>
        <v>600</v>
      </c>
      <c r="T84" s="26">
        <f>SUM(T86:T91)</f>
        <v>119928.88</v>
      </c>
      <c r="U84" s="123">
        <f t="shared" ref="U84" si="28">SUM(U86:U91)</f>
        <v>98071.12</v>
      </c>
    </row>
    <row r="85" spans="1:21" ht="48" thickBot="1">
      <c r="A85" s="13">
        <v>2</v>
      </c>
      <c r="B85" s="13">
        <v>2</v>
      </c>
      <c r="C85" s="17">
        <v>7</v>
      </c>
      <c r="D85" s="13">
        <v>2</v>
      </c>
      <c r="E85" s="18"/>
      <c r="F85" s="92" t="s">
        <v>61</v>
      </c>
      <c r="G85" s="21">
        <f>SUM(G87:G90)</f>
        <v>218000</v>
      </c>
      <c r="H85" s="21">
        <f>SUM(H87:H90)</f>
        <v>0</v>
      </c>
      <c r="I85" s="21">
        <f t="shared" ref="I85" si="29">SUM(I87:I90)</f>
        <v>8333</v>
      </c>
      <c r="J85" s="21">
        <f>SUM(J86:J90)</f>
        <v>24521</v>
      </c>
      <c r="K85" s="21">
        <f t="shared" ref="K85:N85" si="30">SUM(K86:K90)</f>
        <v>0</v>
      </c>
      <c r="L85" s="21">
        <f t="shared" si="30"/>
        <v>0</v>
      </c>
      <c r="M85" s="21">
        <f t="shared" si="30"/>
        <v>8474.58</v>
      </c>
      <c r="N85" s="21">
        <f t="shared" si="30"/>
        <v>600</v>
      </c>
      <c r="O85" s="21"/>
      <c r="P85" s="21"/>
      <c r="Q85" s="137"/>
      <c r="R85" s="21"/>
      <c r="S85" s="21"/>
      <c r="T85" s="21">
        <f>SUM(T86:T90)</f>
        <v>119928.88</v>
      </c>
      <c r="U85" s="138">
        <f>SUM(U86:U90)</f>
        <v>98071.12</v>
      </c>
    </row>
    <row r="86" spans="1:21" ht="47.25">
      <c r="A86" s="13">
        <v>2</v>
      </c>
      <c r="B86" s="13">
        <v>2</v>
      </c>
      <c r="C86" s="17">
        <v>7</v>
      </c>
      <c r="D86" s="13">
        <v>1</v>
      </c>
      <c r="E86" s="40">
        <v>2</v>
      </c>
      <c r="F86" s="139" t="s">
        <v>133</v>
      </c>
      <c r="G86" s="25"/>
      <c r="H86" s="25"/>
      <c r="I86" s="25"/>
      <c r="J86" s="32">
        <v>13570</v>
      </c>
      <c r="K86" s="32"/>
      <c r="L86" s="32"/>
      <c r="M86" s="32"/>
      <c r="N86" s="32"/>
      <c r="O86" s="32"/>
      <c r="P86" s="32"/>
      <c r="Q86" s="140"/>
      <c r="R86" s="32"/>
      <c r="S86" s="32"/>
      <c r="T86" s="33">
        <f>+I86+J86+K86+L86+M86:M86+N86+O86+P86+Q86+R86+S86</f>
        <v>13570</v>
      </c>
      <c r="U86" s="128">
        <f>+G86-T86</f>
        <v>-13570</v>
      </c>
    </row>
    <row r="87" spans="1:21" ht="47.25">
      <c r="A87" s="13">
        <v>2</v>
      </c>
      <c r="B87" s="13">
        <v>2</v>
      </c>
      <c r="C87" s="17">
        <v>7</v>
      </c>
      <c r="D87" s="13">
        <v>2</v>
      </c>
      <c r="E87" s="40">
        <v>2</v>
      </c>
      <c r="F87" s="139" t="s">
        <v>62</v>
      </c>
      <c r="G87" s="32">
        <v>18000</v>
      </c>
      <c r="H87" s="32"/>
      <c r="I87" s="33">
        <v>0</v>
      </c>
      <c r="J87" s="33">
        <f>+I87</f>
        <v>0</v>
      </c>
      <c r="K87" s="33"/>
      <c r="L87" s="33"/>
      <c r="M87" s="33"/>
      <c r="N87" s="33"/>
      <c r="O87" s="33"/>
      <c r="P87" s="33"/>
      <c r="Q87" s="33"/>
      <c r="R87" s="33"/>
      <c r="S87" s="33"/>
      <c r="T87" s="33">
        <f t="shared" ref="T87:T90" si="31">+I87+J87+K87+L87+M87:M87+N87+O87+P87+Q87+R87+S87</f>
        <v>0</v>
      </c>
      <c r="U87" s="128">
        <f>+G87-T87</f>
        <v>18000</v>
      </c>
    </row>
    <row r="88" spans="1:21" ht="47.25">
      <c r="A88" s="13">
        <v>2</v>
      </c>
      <c r="B88" s="13">
        <v>2</v>
      </c>
      <c r="C88" s="17">
        <v>7</v>
      </c>
      <c r="D88" s="13">
        <v>2</v>
      </c>
      <c r="E88" s="40">
        <v>3</v>
      </c>
      <c r="F88" s="139" t="s">
        <v>63</v>
      </c>
      <c r="G88" s="32"/>
      <c r="H88" s="32"/>
      <c r="I88" s="33">
        <f>G88*12</f>
        <v>0</v>
      </c>
      <c r="J88" s="33">
        <f>+I88</f>
        <v>0</v>
      </c>
      <c r="K88" s="33"/>
      <c r="L88" s="33"/>
      <c r="M88" s="33"/>
      <c r="N88" s="33"/>
      <c r="O88" s="33"/>
      <c r="P88" s="33"/>
      <c r="Q88" s="33"/>
      <c r="R88" s="33"/>
      <c r="S88" s="33"/>
      <c r="T88" s="33">
        <f t="shared" si="31"/>
        <v>0</v>
      </c>
      <c r="U88" s="128">
        <f>+G88-T88</f>
        <v>0</v>
      </c>
    </row>
    <row r="89" spans="1:21" ht="47.25">
      <c r="A89" s="13">
        <v>2</v>
      </c>
      <c r="B89" s="13">
        <v>2</v>
      </c>
      <c r="C89" s="17">
        <v>7</v>
      </c>
      <c r="D89" s="13">
        <v>2</v>
      </c>
      <c r="E89" s="40">
        <v>4</v>
      </c>
      <c r="F89" s="139" t="s">
        <v>64</v>
      </c>
      <c r="G89" s="32">
        <v>100000</v>
      </c>
      <c r="H89" s="32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>
        <f t="shared" si="31"/>
        <v>0</v>
      </c>
      <c r="U89" s="128">
        <f>+G89-T89</f>
        <v>100000</v>
      </c>
    </row>
    <row r="90" spans="1:21" ht="63">
      <c r="A90" s="13">
        <v>2</v>
      </c>
      <c r="B90" s="13">
        <v>2</v>
      </c>
      <c r="C90" s="17">
        <v>7</v>
      </c>
      <c r="D90" s="13">
        <v>2</v>
      </c>
      <c r="E90" s="40">
        <v>6</v>
      </c>
      <c r="F90" s="139" t="s">
        <v>65</v>
      </c>
      <c r="G90" s="32">
        <v>100000</v>
      </c>
      <c r="H90" s="32"/>
      <c r="I90" s="33">
        <v>8333</v>
      </c>
      <c r="J90" s="33">
        <v>10951</v>
      </c>
      <c r="K90" s="33"/>
      <c r="L90" s="33"/>
      <c r="M90" s="33">
        <v>8474.58</v>
      </c>
      <c r="N90" s="33">
        <v>600</v>
      </c>
      <c r="O90" s="33">
        <v>53122</v>
      </c>
      <c r="P90" s="33">
        <f>15896.81+600+600+4281.49</f>
        <v>21378.299999999996</v>
      </c>
      <c r="Q90" s="33">
        <f>600+500</f>
        <v>1100</v>
      </c>
      <c r="R90" s="33">
        <f>600+600+600</f>
        <v>1800</v>
      </c>
      <c r="S90" s="33">
        <v>600</v>
      </c>
      <c r="T90" s="33">
        <f t="shared" si="31"/>
        <v>106358.88</v>
      </c>
      <c r="U90" s="128">
        <f>+G90-T90</f>
        <v>-6358.8800000000047</v>
      </c>
    </row>
    <row r="91" spans="1:21" ht="15.75">
      <c r="A91" s="13"/>
      <c r="B91" s="13"/>
      <c r="C91" s="17"/>
      <c r="D91" s="13"/>
      <c r="E91" s="40"/>
      <c r="F91" s="94"/>
      <c r="G91" s="32"/>
      <c r="H91" s="32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>
        <f t="shared" ref="T91" si="32">+I91+J91+K91+L91+M91:M91+N91+O91+P91+Q91+R91</f>
        <v>0</v>
      </c>
      <c r="U91" s="128"/>
    </row>
    <row r="92" spans="1:21" ht="32.25" thickBot="1">
      <c r="A92" s="13">
        <v>2</v>
      </c>
      <c r="B92" s="13">
        <v>2</v>
      </c>
      <c r="C92" s="17">
        <v>8</v>
      </c>
      <c r="D92" s="13"/>
      <c r="E92" s="18"/>
      <c r="F92" s="92" t="s">
        <v>66</v>
      </c>
      <c r="G92" s="25">
        <f>SUM(G93+G94)+G96+G100</f>
        <v>2218800</v>
      </c>
      <c r="H92" s="25">
        <f>SUM(H93+H94)+H96+H100</f>
        <v>4515833</v>
      </c>
      <c r="I92" s="26">
        <f t="shared" ref="I92:U92" si="33">I93+I94+I96+I100</f>
        <v>321519</v>
      </c>
      <c r="J92" s="26">
        <f>J93+J94+J96+J100</f>
        <v>363965</v>
      </c>
      <c r="K92" s="26">
        <f t="shared" si="33"/>
        <v>308489.34999999998</v>
      </c>
      <c r="L92" s="26">
        <f t="shared" si="33"/>
        <v>225908.6</v>
      </c>
      <c r="M92" s="26">
        <f t="shared" si="33"/>
        <v>227764.52</v>
      </c>
      <c r="N92" s="26">
        <f t="shared" si="33"/>
        <v>326254.43</v>
      </c>
      <c r="O92" s="26">
        <f t="shared" si="33"/>
        <v>277910.68</v>
      </c>
      <c r="P92" s="26">
        <f t="shared" si="33"/>
        <v>263414.64</v>
      </c>
      <c r="Q92" s="26">
        <f t="shared" si="33"/>
        <v>640882.34</v>
      </c>
      <c r="R92" s="26">
        <f>R93+R94+R96+R100</f>
        <v>235736.59</v>
      </c>
      <c r="S92" s="26">
        <f>S93+S94+S96+S100</f>
        <v>408029.70999999996</v>
      </c>
      <c r="T92" s="26">
        <f t="shared" si="33"/>
        <v>3599874.86</v>
      </c>
      <c r="U92" s="123">
        <f t="shared" si="33"/>
        <v>-1381074.8599999999</v>
      </c>
    </row>
    <row r="93" spans="1:21" ht="31.5">
      <c r="A93" s="13">
        <v>2</v>
      </c>
      <c r="B93" s="13">
        <v>2</v>
      </c>
      <c r="C93" s="17">
        <v>8</v>
      </c>
      <c r="D93" s="13">
        <v>2</v>
      </c>
      <c r="E93" s="40"/>
      <c r="F93" s="91" t="s">
        <v>67</v>
      </c>
      <c r="G93" s="31">
        <v>84000</v>
      </c>
      <c r="H93" s="31"/>
      <c r="I93" s="34">
        <v>4811</v>
      </c>
      <c r="J93" s="34">
        <v>8780</v>
      </c>
      <c r="K93" s="34">
        <v>5444.35</v>
      </c>
      <c r="L93" s="34">
        <v>4558</v>
      </c>
      <c r="M93" s="34">
        <v>5195.5200000000004</v>
      </c>
      <c r="N93" s="34">
        <v>4361.43</v>
      </c>
      <c r="O93" s="34">
        <v>4747.68</v>
      </c>
      <c r="P93" s="34">
        <v>6392.64</v>
      </c>
      <c r="Q93" s="34">
        <v>4959.34</v>
      </c>
      <c r="R93" s="34">
        <v>5250.79</v>
      </c>
      <c r="S93" s="34">
        <v>4518</v>
      </c>
      <c r="T93" s="34">
        <f>+I93+J93+K93+L93+M93+N93+O93+P93+Q93+R93+S93</f>
        <v>59018.750000000007</v>
      </c>
      <c r="U93" s="129">
        <f>+G93-T93</f>
        <v>24981.249999999993</v>
      </c>
    </row>
    <row r="94" spans="1:21" ht="31.5">
      <c r="A94" s="13">
        <v>2</v>
      </c>
      <c r="B94" s="13">
        <v>2</v>
      </c>
      <c r="C94" s="17">
        <v>8</v>
      </c>
      <c r="D94" s="13">
        <v>4</v>
      </c>
      <c r="E94" s="13"/>
      <c r="F94" s="91" t="s">
        <v>68</v>
      </c>
      <c r="G94" s="32">
        <v>0</v>
      </c>
      <c r="H94" s="32"/>
      <c r="I94" s="33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>
        <f>+I94+J94+K94+L94+M94+N94+O94+P94+Q94+R94+S94</f>
        <v>0</v>
      </c>
      <c r="U94" s="128">
        <v>0</v>
      </c>
    </row>
    <row r="95" spans="1:21" ht="15.75">
      <c r="A95" s="13"/>
      <c r="B95" s="13"/>
      <c r="C95" s="17"/>
      <c r="D95" s="13"/>
      <c r="E95" s="13"/>
      <c r="F95" s="91"/>
      <c r="G95" s="32"/>
      <c r="H95" s="32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128"/>
    </row>
    <row r="96" spans="1:21" ht="32.25" thickBot="1">
      <c r="A96" s="13">
        <v>2</v>
      </c>
      <c r="B96" s="13">
        <v>2</v>
      </c>
      <c r="C96" s="17">
        <v>8</v>
      </c>
      <c r="D96" s="13">
        <v>6</v>
      </c>
      <c r="E96" s="18"/>
      <c r="F96" s="93" t="s">
        <v>69</v>
      </c>
      <c r="G96" s="25">
        <f t="shared" ref="G96:U96" si="34">G97+G98</f>
        <v>950000</v>
      </c>
      <c r="H96" s="19">
        <f t="shared" si="34"/>
        <v>1882417</v>
      </c>
      <c r="I96" s="37">
        <f t="shared" si="34"/>
        <v>0</v>
      </c>
      <c r="J96" s="37">
        <f>J97+J98</f>
        <v>0</v>
      </c>
      <c r="K96" s="37">
        <f t="shared" si="34"/>
        <v>0</v>
      </c>
      <c r="L96" s="37">
        <f t="shared" si="34"/>
        <v>0</v>
      </c>
      <c r="M96" s="37">
        <f t="shared" si="34"/>
        <v>0</v>
      </c>
      <c r="N96" s="37">
        <f t="shared" si="34"/>
        <v>0</v>
      </c>
      <c r="O96" s="37"/>
      <c r="P96" s="37"/>
      <c r="Q96" s="37"/>
      <c r="R96" s="37"/>
      <c r="S96" s="37"/>
      <c r="T96" s="37">
        <f t="shared" si="34"/>
        <v>0</v>
      </c>
      <c r="U96" s="132">
        <f t="shared" si="34"/>
        <v>950000</v>
      </c>
    </row>
    <row r="97" spans="1:21" ht="15.75">
      <c r="A97" s="13">
        <v>2</v>
      </c>
      <c r="B97" s="13">
        <v>2</v>
      </c>
      <c r="C97" s="17">
        <v>8</v>
      </c>
      <c r="D97" s="13">
        <v>6</v>
      </c>
      <c r="E97" s="13">
        <v>1</v>
      </c>
      <c r="F97" s="91" t="s">
        <v>70</v>
      </c>
      <c r="G97" s="31">
        <v>920000</v>
      </c>
      <c r="H97" s="31">
        <f>360000+1522417</f>
        <v>1882417</v>
      </c>
      <c r="I97" s="34">
        <v>0</v>
      </c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>
        <f>+I97+J97+K97+L97+M97+N97+O97+P97+Q97+R97+S97</f>
        <v>0</v>
      </c>
      <c r="U97" s="128">
        <f>+G97-T97</f>
        <v>920000</v>
      </c>
    </row>
    <row r="98" spans="1:21" ht="15.75">
      <c r="A98" s="13">
        <v>2</v>
      </c>
      <c r="B98" s="13">
        <v>2</v>
      </c>
      <c r="C98" s="17">
        <v>8</v>
      </c>
      <c r="D98" s="13">
        <v>6</v>
      </c>
      <c r="E98" s="13">
        <v>2</v>
      </c>
      <c r="F98" s="91" t="s">
        <v>71</v>
      </c>
      <c r="G98" s="32">
        <v>30000</v>
      </c>
      <c r="H98" s="32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>
        <f>+I98+J98+K98+L98+M98+N98+O98+P98+Q98+R98+S98</f>
        <v>0</v>
      </c>
      <c r="U98" s="128">
        <f>+G98-T98</f>
        <v>30000</v>
      </c>
    </row>
    <row r="99" spans="1:21" ht="15.75">
      <c r="A99" s="13"/>
      <c r="B99" s="13"/>
      <c r="C99" s="17"/>
      <c r="D99" s="13"/>
      <c r="E99" s="13"/>
      <c r="F99" s="91"/>
      <c r="G99" s="32"/>
      <c r="H99" s="32"/>
      <c r="I99" s="33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>
        <f>+J99</f>
        <v>0</v>
      </c>
      <c r="U99" s="128">
        <v>0</v>
      </c>
    </row>
    <row r="100" spans="1:21" ht="32.25" thickBot="1">
      <c r="A100" s="13">
        <v>2</v>
      </c>
      <c r="B100" s="13">
        <v>2</v>
      </c>
      <c r="C100" s="17">
        <v>8</v>
      </c>
      <c r="D100" s="13">
        <v>7</v>
      </c>
      <c r="E100" s="18"/>
      <c r="F100" s="93" t="s">
        <v>72</v>
      </c>
      <c r="G100" s="53">
        <f t="shared" ref="G100:U100" si="35">G101+G102+G103+G104+G105</f>
        <v>1184800</v>
      </c>
      <c r="H100" s="53">
        <f t="shared" si="35"/>
        <v>2633416</v>
      </c>
      <c r="I100" s="133">
        <f t="shared" si="35"/>
        <v>316708</v>
      </c>
      <c r="J100" s="133">
        <f t="shared" si="35"/>
        <v>355185</v>
      </c>
      <c r="K100" s="133">
        <f t="shared" si="35"/>
        <v>303045</v>
      </c>
      <c r="L100" s="133">
        <f t="shared" si="35"/>
        <v>221350.6</v>
      </c>
      <c r="M100" s="133">
        <f t="shared" si="35"/>
        <v>222569</v>
      </c>
      <c r="N100" s="133">
        <f t="shared" si="35"/>
        <v>321893</v>
      </c>
      <c r="O100" s="133">
        <f t="shared" si="35"/>
        <v>273163</v>
      </c>
      <c r="P100" s="133">
        <f t="shared" si="35"/>
        <v>257022</v>
      </c>
      <c r="Q100" s="133">
        <f t="shared" si="35"/>
        <v>635923</v>
      </c>
      <c r="R100" s="133">
        <f>R101+R102+R103+R104+R105</f>
        <v>230485.8</v>
      </c>
      <c r="S100" s="133">
        <f>S101+S102+S103+S104+S105</f>
        <v>403511.70999999996</v>
      </c>
      <c r="T100" s="133">
        <f>T101+T102+T103+T104+T105</f>
        <v>3540856.11</v>
      </c>
      <c r="U100" s="123">
        <f t="shared" si="35"/>
        <v>-2356056.11</v>
      </c>
    </row>
    <row r="101" spans="1:21" ht="47.25">
      <c r="A101" s="13">
        <v>2</v>
      </c>
      <c r="B101" s="13">
        <v>2</v>
      </c>
      <c r="C101" s="17">
        <v>8</v>
      </c>
      <c r="D101" s="13">
        <v>7</v>
      </c>
      <c r="E101" s="13">
        <v>1</v>
      </c>
      <c r="F101" s="94" t="s">
        <v>73</v>
      </c>
      <c r="G101" s="32"/>
      <c r="H101" s="32"/>
      <c r="I101" s="33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>
        <f>+I101+J101+K101+L101+M101+N101+O101+P101+Q101+R101+S101</f>
        <v>0</v>
      </c>
      <c r="U101" s="129">
        <f>+G101-T101</f>
        <v>0</v>
      </c>
    </row>
    <row r="102" spans="1:21" ht="47.25">
      <c r="A102" s="13">
        <v>2</v>
      </c>
      <c r="B102" s="13">
        <v>2</v>
      </c>
      <c r="C102" s="17">
        <v>8</v>
      </c>
      <c r="D102" s="13">
        <v>7</v>
      </c>
      <c r="E102" s="40">
        <v>3</v>
      </c>
      <c r="F102" s="94" t="s">
        <v>74</v>
      </c>
      <c r="G102" s="32">
        <v>259600</v>
      </c>
      <c r="H102" s="32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>
        <v>48000</v>
      </c>
      <c r="T102" s="33">
        <f>+I102+J102+K102+L102+M102+N102+O102+P102+Q102+R102+S102</f>
        <v>48000</v>
      </c>
      <c r="U102" s="141">
        <f>+G102-T102</f>
        <v>211600</v>
      </c>
    </row>
    <row r="103" spans="1:21" ht="31.5">
      <c r="A103" s="13">
        <v>2</v>
      </c>
      <c r="B103" s="13">
        <v>2</v>
      </c>
      <c r="C103" s="17">
        <v>8</v>
      </c>
      <c r="D103" s="13">
        <v>7</v>
      </c>
      <c r="E103" s="13">
        <v>4</v>
      </c>
      <c r="F103" s="94" t="s">
        <v>75</v>
      </c>
      <c r="G103" s="32">
        <v>120000</v>
      </c>
      <c r="H103" s="32"/>
      <c r="I103" s="33">
        <f>8750+6050</f>
        <v>14800</v>
      </c>
      <c r="J103" s="33">
        <v>13200</v>
      </c>
      <c r="K103" s="33"/>
      <c r="L103" s="33">
        <v>17520</v>
      </c>
      <c r="M103" s="33"/>
      <c r="N103" s="33"/>
      <c r="O103" s="33"/>
      <c r="P103" s="33">
        <v>15760</v>
      </c>
      <c r="Q103" s="33"/>
      <c r="R103" s="33"/>
      <c r="S103" s="33"/>
      <c r="T103" s="33">
        <f>+I103+J103+K103+L103+M103+N103+O103+P103+Q103+R103+S103</f>
        <v>61280</v>
      </c>
      <c r="U103" s="141">
        <f>+G103-T103</f>
        <v>58720</v>
      </c>
    </row>
    <row r="104" spans="1:21" ht="47.25">
      <c r="A104" s="13">
        <v>2</v>
      </c>
      <c r="B104" s="13">
        <v>2</v>
      </c>
      <c r="C104" s="17">
        <v>8</v>
      </c>
      <c r="D104" s="13">
        <v>7</v>
      </c>
      <c r="E104" s="13">
        <v>5</v>
      </c>
      <c r="F104" s="94" t="s">
        <v>76</v>
      </c>
      <c r="G104" s="32"/>
      <c r="H104" s="32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>
        <f>+I104+J104+K104+L104+M104+N104+O104+P104+Q104+R104+S104</f>
        <v>0</v>
      </c>
      <c r="U104" s="141">
        <f>+G104-T104</f>
        <v>0</v>
      </c>
    </row>
    <row r="105" spans="1:21" ht="31.5">
      <c r="A105" s="13">
        <v>2</v>
      </c>
      <c r="B105" s="13">
        <v>2</v>
      </c>
      <c r="C105" s="17">
        <v>8</v>
      </c>
      <c r="D105" s="13">
        <v>7</v>
      </c>
      <c r="E105" s="13">
        <v>6</v>
      </c>
      <c r="F105" s="94" t="s">
        <v>77</v>
      </c>
      <c r="G105" s="32">
        <v>805200</v>
      </c>
      <c r="H105" s="32">
        <f>860000+1015000+758416</f>
        <v>2633416</v>
      </c>
      <c r="I105" s="33">
        <f>25960+43563+207385+25000</f>
        <v>301908</v>
      </c>
      <c r="J105" s="33">
        <f>72452+10620+43563+26550+188800</f>
        <v>341985</v>
      </c>
      <c r="K105" s="135">
        <f>14750+14750+21240+129800+43563+11800+67142</f>
        <v>303045</v>
      </c>
      <c r="L105" s="33">
        <f>11800+43563+129800+18667.6</f>
        <v>203830.6</v>
      </c>
      <c r="M105" s="33">
        <f>14750+22656+129800+11800+43563</f>
        <v>222569</v>
      </c>
      <c r="N105" s="33">
        <f>29300+21240+20650+29300+129800+14750+21240+11800+43563+250</f>
        <v>321893</v>
      </c>
      <c r="O105" s="33">
        <f>88000+43563+129800+11800</f>
        <v>273163</v>
      </c>
      <c r="P105" s="33">
        <f>21299+129800+11800+43563+34800</f>
        <v>241262</v>
      </c>
      <c r="Q105" s="33">
        <f>21240+14750+414770+43563+11800+129800</f>
        <v>635923</v>
      </c>
      <c r="R105" s="33">
        <f>11800+129800+43563+21000+12390+11932.8</f>
        <v>230485.8</v>
      </c>
      <c r="S105" s="33">
        <f>15000+155348.71+11800+43563+129800</f>
        <v>355511.70999999996</v>
      </c>
      <c r="T105" s="33">
        <f>+I105+J105+K105+L105+M105+N105+O105+P105+Q105+R105+S105</f>
        <v>3431576.11</v>
      </c>
      <c r="U105" s="141">
        <f>+G105-T105</f>
        <v>-2626376.11</v>
      </c>
    </row>
    <row r="106" spans="1:21" ht="16.5" thickBot="1">
      <c r="A106" s="13"/>
      <c r="B106" s="13"/>
      <c r="C106" s="17"/>
      <c r="D106" s="13"/>
      <c r="E106" s="13"/>
      <c r="F106" s="94"/>
      <c r="G106" s="35"/>
      <c r="H106" s="35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132"/>
    </row>
    <row r="107" spans="1:21" ht="32.25" thickBot="1">
      <c r="A107" s="13">
        <v>2</v>
      </c>
      <c r="B107" s="13">
        <v>2</v>
      </c>
      <c r="C107" s="17">
        <v>9</v>
      </c>
      <c r="D107" s="13"/>
      <c r="E107" s="13"/>
      <c r="F107" s="92" t="s">
        <v>110</v>
      </c>
      <c r="G107" s="41">
        <f>G108+G109</f>
        <v>250000</v>
      </c>
      <c r="H107" s="41">
        <f>H108+H109</f>
        <v>0</v>
      </c>
      <c r="I107" s="41">
        <f t="shared" ref="I107:U107" si="36">I108+I109</f>
        <v>27731.74</v>
      </c>
      <c r="J107" s="41">
        <f t="shared" si="36"/>
        <v>92664.349999999991</v>
      </c>
      <c r="K107" s="41">
        <f t="shared" si="36"/>
        <v>15407.999999999998</v>
      </c>
      <c r="L107" s="41">
        <f t="shared" si="36"/>
        <v>53412.26</v>
      </c>
      <c r="M107" s="41">
        <f t="shared" si="36"/>
        <v>62197</v>
      </c>
      <c r="N107" s="41">
        <f t="shared" si="36"/>
        <v>51939</v>
      </c>
      <c r="O107" s="41">
        <f t="shared" si="36"/>
        <v>113168.59999999999</v>
      </c>
      <c r="P107" s="41">
        <f t="shared" si="36"/>
        <v>47031.95</v>
      </c>
      <c r="Q107" s="41">
        <f t="shared" si="36"/>
        <v>1769.95</v>
      </c>
      <c r="R107" s="41">
        <f t="shared" si="36"/>
        <v>28646.26</v>
      </c>
      <c r="S107" s="41">
        <f t="shared" si="36"/>
        <v>1915</v>
      </c>
      <c r="T107" s="41">
        <f t="shared" si="36"/>
        <v>495884.11</v>
      </c>
      <c r="U107" s="142">
        <f t="shared" si="36"/>
        <v>-245884.11</v>
      </c>
    </row>
    <row r="108" spans="1:21" ht="32.25" thickBot="1">
      <c r="A108" s="13">
        <v>2</v>
      </c>
      <c r="B108" s="13">
        <v>2</v>
      </c>
      <c r="C108" s="17">
        <v>9</v>
      </c>
      <c r="D108" s="13">
        <v>2</v>
      </c>
      <c r="E108" s="13"/>
      <c r="F108" s="91" t="s">
        <v>111</v>
      </c>
      <c r="G108" s="23"/>
      <c r="H108" s="2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>
        <f>+J108</f>
        <v>0</v>
      </c>
      <c r="U108" s="144">
        <f>+G108-T108</f>
        <v>0</v>
      </c>
    </row>
    <row r="109" spans="1:21" ht="31.5">
      <c r="A109" s="13">
        <v>2</v>
      </c>
      <c r="B109" s="13">
        <v>2</v>
      </c>
      <c r="C109" s="17">
        <v>9</v>
      </c>
      <c r="D109" s="13">
        <v>2</v>
      </c>
      <c r="E109" s="13">
        <v>1</v>
      </c>
      <c r="F109" s="94" t="s">
        <v>111</v>
      </c>
      <c r="G109" s="32">
        <v>250000</v>
      </c>
      <c r="H109" s="32"/>
      <c r="I109" s="33">
        <f>1579+24011.74+1000+741+400</f>
        <v>27731.74</v>
      </c>
      <c r="J109" s="33">
        <f>56286+25783+90+270+4500+569.95+90+5075.4</f>
        <v>92664.349999999991</v>
      </c>
      <c r="K109" s="33">
        <f>470+2015+1319.7+270+2500+5782.4+800+552+795+903.9</f>
        <v>15407.999999999998</v>
      </c>
      <c r="L109" s="33">
        <f>50563+659.51+200+200+200+764.75+100+200+300+100+125</f>
        <v>53412.26</v>
      </c>
      <c r="M109" s="33">
        <f>700+850+55932+600+4115</f>
        <v>62197</v>
      </c>
      <c r="N109" s="33">
        <f>600+50504+700+135</f>
        <v>51939</v>
      </c>
      <c r="O109" s="33">
        <f>780+100+27396.45+17623.3+62186+989.7+1114.75+600+2378.4</f>
        <v>113168.59999999999</v>
      </c>
      <c r="P109" s="33">
        <f>43247+400+1129.6+379.75+975.6+900</f>
        <v>47031.95</v>
      </c>
      <c r="Q109" s="33">
        <f>100+200+300+469.95+500+200</f>
        <v>1769.95</v>
      </c>
      <c r="R109" s="33">
        <f>3500+585+200+500+600+22623.46+637.8</f>
        <v>28646.26</v>
      </c>
      <c r="S109" s="33">
        <f>300+140+300+175+300+400+300</f>
        <v>1915</v>
      </c>
      <c r="T109" s="33">
        <f>+I109+J109+K109+L109+M109+N109+O109+P109+Q109+R109+S109</f>
        <v>495884.11</v>
      </c>
      <c r="U109" s="128">
        <f>+G109-T109</f>
        <v>-245884.11</v>
      </c>
    </row>
    <row r="110" spans="1:21" ht="15.75">
      <c r="A110" s="13"/>
      <c r="B110" s="13"/>
      <c r="C110" s="17"/>
      <c r="D110" s="13"/>
      <c r="E110" s="13"/>
      <c r="F110" s="94"/>
      <c r="G110" s="32"/>
      <c r="H110" s="32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128"/>
    </row>
    <row r="111" spans="1:21" ht="32.25" thickBot="1">
      <c r="A111" s="13">
        <v>2</v>
      </c>
      <c r="B111" s="13">
        <v>3</v>
      </c>
      <c r="C111" s="17"/>
      <c r="D111" s="13"/>
      <c r="E111" s="18"/>
      <c r="F111" s="92" t="s">
        <v>78</v>
      </c>
      <c r="G111" s="19">
        <f>G112+G116+G119+G125+G129+G137</f>
        <v>994500</v>
      </c>
      <c r="H111" s="19">
        <f>H112+H116+H119+H125+H129+H137</f>
        <v>760000</v>
      </c>
      <c r="I111" s="19">
        <f>I112+I116+I119+I125+I129+I137</f>
        <v>23445.010000000002</v>
      </c>
      <c r="J111" s="19">
        <f t="shared" ref="J111:U111" si="37">J112+J116+J119+J125+J129+J137</f>
        <v>170394.68</v>
      </c>
      <c r="K111" s="19">
        <f t="shared" si="37"/>
        <v>206026.82</v>
      </c>
      <c r="L111" s="19">
        <f t="shared" si="37"/>
        <v>45458.92</v>
      </c>
      <c r="M111" s="19">
        <f t="shared" si="37"/>
        <v>800</v>
      </c>
      <c r="N111" s="19">
        <f t="shared" si="37"/>
        <v>11650.55</v>
      </c>
      <c r="O111" s="19">
        <f t="shared" si="37"/>
        <v>226924.78</v>
      </c>
      <c r="P111" s="19">
        <f t="shared" si="37"/>
        <v>600</v>
      </c>
      <c r="Q111" s="19">
        <f t="shared" si="37"/>
        <v>9110.75</v>
      </c>
      <c r="R111" s="19">
        <f t="shared" si="37"/>
        <v>43813.600000000006</v>
      </c>
      <c r="S111" s="19">
        <f t="shared" si="37"/>
        <v>119176.3</v>
      </c>
      <c r="T111" s="19">
        <f t="shared" si="37"/>
        <v>857401.40999999992</v>
      </c>
      <c r="U111" s="63">
        <f t="shared" si="37"/>
        <v>191392.75000000006</v>
      </c>
    </row>
    <row r="112" spans="1:21" ht="48" thickBot="1">
      <c r="A112" s="13">
        <v>2</v>
      </c>
      <c r="B112" s="13">
        <v>3</v>
      </c>
      <c r="C112" s="17">
        <v>1</v>
      </c>
      <c r="D112" s="13"/>
      <c r="E112" s="18"/>
      <c r="F112" s="100" t="s">
        <v>79</v>
      </c>
      <c r="G112" s="21">
        <f>G113</f>
        <v>0</v>
      </c>
      <c r="H112" s="21"/>
      <c r="I112" s="22">
        <f>I113</f>
        <v>0</v>
      </c>
      <c r="J112" s="22">
        <f>J113</f>
        <v>0</v>
      </c>
      <c r="K112" s="22"/>
      <c r="L112" s="22"/>
      <c r="M112" s="22"/>
      <c r="N112" s="22"/>
      <c r="O112" s="22"/>
      <c r="P112" s="22"/>
      <c r="Q112" s="22"/>
      <c r="R112" s="22"/>
      <c r="S112" s="22"/>
      <c r="T112" s="22">
        <f>T113</f>
        <v>0</v>
      </c>
      <c r="U112" s="130">
        <f>U113</f>
        <v>0</v>
      </c>
    </row>
    <row r="113" spans="1:21" ht="31.5">
      <c r="A113" s="13">
        <v>2</v>
      </c>
      <c r="B113" s="13">
        <v>3</v>
      </c>
      <c r="C113" s="17">
        <v>1</v>
      </c>
      <c r="D113" s="13">
        <v>1</v>
      </c>
      <c r="E113" s="18"/>
      <c r="F113" s="101" t="s">
        <v>80</v>
      </c>
      <c r="G113" s="32">
        <f>G114</f>
        <v>0</v>
      </c>
      <c r="H113" s="32"/>
      <c r="I113" s="28"/>
      <c r="J113" s="28"/>
      <c r="L113" s="28"/>
      <c r="M113" s="28"/>
      <c r="N113" s="28"/>
      <c r="O113" s="28"/>
      <c r="P113" s="28"/>
      <c r="Q113" s="28"/>
      <c r="R113" s="28"/>
      <c r="S113" s="28"/>
      <c r="T113" s="28">
        <f>+I113+J113+K113+L113+M113+N113+O113+P113+Q113+R113+S113</f>
        <v>0</v>
      </c>
      <c r="U113" s="126"/>
    </row>
    <row r="114" spans="1:21" ht="12" customHeight="1">
      <c r="A114" s="13">
        <v>2</v>
      </c>
      <c r="B114" s="13">
        <v>3</v>
      </c>
      <c r="C114" s="17">
        <v>1</v>
      </c>
      <c r="D114" s="13">
        <v>1</v>
      </c>
      <c r="E114" s="18">
        <v>1</v>
      </c>
      <c r="F114" s="101" t="s">
        <v>80</v>
      </c>
      <c r="G114" s="32"/>
      <c r="H114" s="32"/>
      <c r="I114" s="33">
        <v>0</v>
      </c>
      <c r="J114" s="33"/>
      <c r="K114" s="28"/>
      <c r="L114" s="33"/>
      <c r="M114" s="33"/>
      <c r="N114" s="33"/>
      <c r="O114" s="33"/>
      <c r="P114" s="33"/>
      <c r="Q114" s="33"/>
      <c r="R114" s="33"/>
      <c r="S114" s="33"/>
      <c r="T114" s="33">
        <f>+I114+J114+K114+L114+M114+N114+O114+P114+Q114+R114+S114</f>
        <v>0</v>
      </c>
      <c r="U114" s="128">
        <v>0</v>
      </c>
    </row>
    <row r="115" spans="1:21" ht="12" customHeight="1">
      <c r="A115" s="13"/>
      <c r="B115" s="13"/>
      <c r="C115" s="17"/>
      <c r="D115" s="13"/>
      <c r="E115" s="18"/>
      <c r="F115" s="100"/>
      <c r="G115" s="32"/>
      <c r="H115" s="32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128"/>
    </row>
    <row r="116" spans="1:21" ht="12" customHeight="1" thickBot="1">
      <c r="A116" s="13">
        <v>2</v>
      </c>
      <c r="B116" s="13">
        <v>3</v>
      </c>
      <c r="C116" s="17">
        <v>2</v>
      </c>
      <c r="D116" s="13"/>
      <c r="E116" s="18"/>
      <c r="F116" s="100" t="s">
        <v>81</v>
      </c>
      <c r="G116" s="32"/>
      <c r="H116" s="32"/>
      <c r="I116" s="33">
        <f t="shared" ref="I116:U116" si="38">I117</f>
        <v>0</v>
      </c>
      <c r="J116" s="33">
        <f t="shared" si="38"/>
        <v>0</v>
      </c>
      <c r="K116" s="33">
        <f t="shared" si="38"/>
        <v>0</v>
      </c>
      <c r="L116" s="33">
        <f t="shared" si="38"/>
        <v>0</v>
      </c>
      <c r="M116" s="33">
        <f t="shared" si="38"/>
        <v>0</v>
      </c>
      <c r="N116" s="33">
        <f t="shared" si="38"/>
        <v>0</v>
      </c>
      <c r="O116" s="33">
        <f t="shared" si="38"/>
        <v>0</v>
      </c>
      <c r="P116" s="33">
        <f t="shared" si="38"/>
        <v>0</v>
      </c>
      <c r="Q116" s="33">
        <f t="shared" si="38"/>
        <v>0</v>
      </c>
      <c r="R116" s="33">
        <f t="shared" si="38"/>
        <v>0</v>
      </c>
      <c r="S116" s="33">
        <f t="shared" si="38"/>
        <v>0</v>
      </c>
      <c r="T116" s="33">
        <f t="shared" si="38"/>
        <v>0</v>
      </c>
      <c r="U116" s="128">
        <f t="shared" si="38"/>
        <v>0</v>
      </c>
    </row>
    <row r="117" spans="1:21" ht="12" customHeight="1">
      <c r="A117" s="13">
        <v>2</v>
      </c>
      <c r="B117" s="13">
        <v>3</v>
      </c>
      <c r="C117" s="17">
        <v>2</v>
      </c>
      <c r="D117" s="13">
        <v>3</v>
      </c>
      <c r="E117" s="18"/>
      <c r="F117" s="101" t="s">
        <v>82</v>
      </c>
      <c r="G117" s="31"/>
      <c r="H117" s="31"/>
      <c r="I117" s="34">
        <v>0</v>
      </c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>
        <f>+I117+J117+K117+L117+M117+N117+O117+P117+Q117+R117</f>
        <v>0</v>
      </c>
      <c r="U117" s="129">
        <v>0</v>
      </c>
    </row>
    <row r="118" spans="1:21" s="3" customFormat="1" ht="15.75">
      <c r="A118" s="13"/>
      <c r="B118" s="13"/>
      <c r="C118" s="17"/>
      <c r="D118" s="13"/>
      <c r="E118" s="18"/>
      <c r="F118" s="100"/>
      <c r="G118" s="32"/>
      <c r="H118" s="32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126"/>
    </row>
    <row r="119" spans="1:21" ht="32.25" thickBot="1">
      <c r="A119" s="13">
        <v>2</v>
      </c>
      <c r="B119" s="38">
        <v>3</v>
      </c>
      <c r="C119" s="39">
        <v>3</v>
      </c>
      <c r="D119" s="18"/>
      <c r="E119" s="18"/>
      <c r="F119" s="92" t="s">
        <v>83</v>
      </c>
      <c r="G119" s="19">
        <f t="shared" ref="G119:U119" si="39">G120+G121+G122+G123</f>
        <v>101500</v>
      </c>
      <c r="H119" s="19">
        <f t="shared" si="39"/>
        <v>0</v>
      </c>
      <c r="I119" s="20">
        <f t="shared" si="39"/>
        <v>0</v>
      </c>
      <c r="J119" s="20">
        <f t="shared" si="39"/>
        <v>0</v>
      </c>
      <c r="K119" s="20">
        <f t="shared" si="39"/>
        <v>0</v>
      </c>
      <c r="L119" s="20">
        <f t="shared" si="39"/>
        <v>0</v>
      </c>
      <c r="M119" s="20">
        <f t="shared" si="39"/>
        <v>0</v>
      </c>
      <c r="N119" s="20">
        <f t="shared" si="39"/>
        <v>0</v>
      </c>
      <c r="O119" s="20">
        <f t="shared" si="39"/>
        <v>0</v>
      </c>
      <c r="P119" s="20">
        <f t="shared" si="39"/>
        <v>0</v>
      </c>
      <c r="Q119" s="20">
        <f t="shared" si="39"/>
        <v>0</v>
      </c>
      <c r="R119" s="20">
        <f t="shared" si="39"/>
        <v>0</v>
      </c>
      <c r="S119" s="20">
        <f t="shared" si="39"/>
        <v>0</v>
      </c>
      <c r="T119" s="20">
        <f t="shared" si="39"/>
        <v>0</v>
      </c>
      <c r="U119" s="81">
        <f t="shared" si="39"/>
        <v>101500</v>
      </c>
    </row>
    <row r="120" spans="1:21" ht="15.75">
      <c r="A120" s="13">
        <v>2</v>
      </c>
      <c r="B120" s="13">
        <v>3</v>
      </c>
      <c r="C120" s="17">
        <v>3</v>
      </c>
      <c r="D120" s="13">
        <v>1</v>
      </c>
      <c r="E120" s="13"/>
      <c r="F120" s="91" t="s">
        <v>84</v>
      </c>
      <c r="G120" s="31">
        <v>68000</v>
      </c>
      <c r="H120" s="31"/>
      <c r="I120" s="34"/>
      <c r="J120" s="78"/>
      <c r="K120" s="34"/>
      <c r="L120" s="78"/>
      <c r="M120" s="34"/>
      <c r="N120" s="34"/>
      <c r="O120" s="34"/>
      <c r="P120" s="34"/>
      <c r="Q120" s="34"/>
      <c r="R120" s="34"/>
      <c r="S120" s="34"/>
      <c r="T120" s="34">
        <f>+I120+J120+K120+L120+M120+N120+O120+P120+Q120+R120+S120</f>
        <v>0</v>
      </c>
      <c r="U120" s="128">
        <f>+G120-T120</f>
        <v>68000</v>
      </c>
    </row>
    <row r="121" spans="1:21" ht="31.5">
      <c r="A121" s="13">
        <v>2</v>
      </c>
      <c r="B121" s="13">
        <v>3</v>
      </c>
      <c r="C121" s="17">
        <v>3</v>
      </c>
      <c r="D121" s="13">
        <v>2</v>
      </c>
      <c r="E121" s="13"/>
      <c r="F121" s="91" t="s">
        <v>85</v>
      </c>
      <c r="G121" s="32">
        <v>23000</v>
      </c>
      <c r="H121" s="32"/>
      <c r="I121" s="33">
        <v>0</v>
      </c>
      <c r="J121" s="78"/>
      <c r="K121" s="33"/>
      <c r="L121" s="78"/>
      <c r="M121" s="33"/>
      <c r="N121" s="33"/>
      <c r="O121" s="33"/>
      <c r="P121" s="33"/>
      <c r="Q121" s="33"/>
      <c r="R121" s="33"/>
      <c r="S121" s="33"/>
      <c r="T121" s="33">
        <f>+I121+J121+K121+L121+M121+N121+O121+P121+Q121+R121+S121</f>
        <v>0</v>
      </c>
      <c r="U121" s="128">
        <f>+G121-T121</f>
        <v>23000</v>
      </c>
    </row>
    <row r="122" spans="1:21" ht="31.5">
      <c r="A122" s="13">
        <v>2</v>
      </c>
      <c r="B122" s="13">
        <v>3</v>
      </c>
      <c r="C122" s="17">
        <v>3</v>
      </c>
      <c r="D122" s="13">
        <v>3</v>
      </c>
      <c r="E122" s="13"/>
      <c r="F122" s="91" t="s">
        <v>86</v>
      </c>
      <c r="G122" s="32">
        <v>0</v>
      </c>
      <c r="H122" s="32"/>
      <c r="I122" s="33">
        <v>0</v>
      </c>
      <c r="J122" s="78"/>
      <c r="K122" s="33"/>
      <c r="L122" s="78"/>
      <c r="M122" s="33"/>
      <c r="N122" s="33"/>
      <c r="O122" s="33"/>
      <c r="P122" s="33"/>
      <c r="Q122" s="33"/>
      <c r="R122" s="33"/>
      <c r="S122" s="33"/>
      <c r="T122" s="33">
        <f t="shared" ref="T122:T123" si="40">+I122+J122+K122+L122+M122+N122+O122+P122+Q122+R122+S122</f>
        <v>0</v>
      </c>
      <c r="U122" s="128">
        <v>0</v>
      </c>
    </row>
    <row r="123" spans="1:21" ht="31.5">
      <c r="A123" s="13">
        <v>2</v>
      </c>
      <c r="B123" s="13">
        <v>3</v>
      </c>
      <c r="C123" s="17">
        <v>3</v>
      </c>
      <c r="D123" s="13">
        <v>4</v>
      </c>
      <c r="E123" s="13"/>
      <c r="F123" s="91" t="s">
        <v>87</v>
      </c>
      <c r="G123" s="32">
        <v>10500</v>
      </c>
      <c r="H123" s="32"/>
      <c r="I123" s="33"/>
      <c r="J123" s="78"/>
      <c r="K123" s="33"/>
      <c r="L123" s="78"/>
      <c r="M123" s="33"/>
      <c r="N123" s="33"/>
      <c r="O123" s="33"/>
      <c r="P123" s="33"/>
      <c r="Q123" s="33"/>
      <c r="R123" s="33"/>
      <c r="S123" s="33"/>
      <c r="T123" s="33">
        <f t="shared" si="40"/>
        <v>0</v>
      </c>
      <c r="U123" s="128">
        <f>+G123-T123</f>
        <v>10500</v>
      </c>
    </row>
    <row r="124" spans="1:21" s="1" customFormat="1" ht="16.5" thickBot="1">
      <c r="A124" s="13"/>
      <c r="B124" s="13"/>
      <c r="C124" s="17"/>
      <c r="D124" s="13"/>
      <c r="E124" s="13"/>
      <c r="F124" s="91"/>
      <c r="G124" s="32"/>
      <c r="H124" s="32"/>
      <c r="I124" s="33"/>
      <c r="J124" s="78"/>
      <c r="K124" s="33"/>
      <c r="L124" s="78"/>
      <c r="M124" s="33"/>
      <c r="N124" s="33"/>
      <c r="O124" s="33"/>
      <c r="P124" s="33"/>
      <c r="Q124" s="33"/>
      <c r="R124" s="33"/>
      <c r="S124" s="33"/>
      <c r="T124" s="33"/>
      <c r="U124" s="128"/>
    </row>
    <row r="125" spans="1:21" s="1" customFormat="1" ht="63.75" thickBot="1">
      <c r="A125" s="18">
        <v>2</v>
      </c>
      <c r="B125" s="18">
        <v>3</v>
      </c>
      <c r="C125" s="44">
        <v>7</v>
      </c>
      <c r="D125" s="18"/>
      <c r="E125" s="18"/>
      <c r="F125" s="93" t="s">
        <v>88</v>
      </c>
      <c r="G125" s="19">
        <f t="shared" ref="G125:U126" si="41">G126</f>
        <v>480000</v>
      </c>
      <c r="H125" s="25">
        <f t="shared" si="41"/>
        <v>0</v>
      </c>
      <c r="I125" s="37">
        <f t="shared" si="41"/>
        <v>0</v>
      </c>
      <c r="J125" s="96">
        <f t="shared" si="41"/>
        <v>70000</v>
      </c>
      <c r="K125" s="37">
        <f t="shared" si="41"/>
        <v>0</v>
      </c>
      <c r="L125" s="96">
        <f t="shared" si="41"/>
        <v>0</v>
      </c>
      <c r="M125" s="37">
        <f t="shared" si="41"/>
        <v>0</v>
      </c>
      <c r="N125" s="37">
        <f t="shared" si="41"/>
        <v>0</v>
      </c>
      <c r="O125" s="37">
        <f t="shared" si="41"/>
        <v>70000</v>
      </c>
      <c r="P125" s="37">
        <f t="shared" si="41"/>
        <v>0</v>
      </c>
      <c r="Q125" s="37">
        <f t="shared" si="41"/>
        <v>0</v>
      </c>
      <c r="R125" s="37">
        <f t="shared" si="41"/>
        <v>0</v>
      </c>
      <c r="S125" s="37">
        <f t="shared" si="41"/>
        <v>100000</v>
      </c>
      <c r="T125" s="37">
        <f t="shared" si="41"/>
        <v>240000</v>
      </c>
      <c r="U125" s="131">
        <f t="shared" si="41"/>
        <v>240000</v>
      </c>
    </row>
    <row r="126" spans="1:21" s="4" customFormat="1" ht="32.25" thickBot="1">
      <c r="A126" s="18">
        <v>2</v>
      </c>
      <c r="B126" s="18">
        <v>3</v>
      </c>
      <c r="C126" s="44">
        <v>7</v>
      </c>
      <c r="D126" s="18">
        <v>1</v>
      </c>
      <c r="E126" s="18"/>
      <c r="F126" s="93" t="s">
        <v>89</v>
      </c>
      <c r="G126" s="19">
        <f t="shared" si="41"/>
        <v>480000</v>
      </c>
      <c r="H126" s="21">
        <f t="shared" si="41"/>
        <v>0</v>
      </c>
      <c r="I126" s="24">
        <f t="shared" si="41"/>
        <v>0</v>
      </c>
      <c r="J126" s="145">
        <f t="shared" si="41"/>
        <v>70000</v>
      </c>
      <c r="K126" s="24">
        <f t="shared" si="41"/>
        <v>0</v>
      </c>
      <c r="L126" s="145">
        <f t="shared" si="41"/>
        <v>0</v>
      </c>
      <c r="M126" s="24">
        <f t="shared" si="41"/>
        <v>0</v>
      </c>
      <c r="N126" s="24">
        <f t="shared" si="41"/>
        <v>0</v>
      </c>
      <c r="O126" s="24">
        <f>O127</f>
        <v>70000</v>
      </c>
      <c r="P126" s="24">
        <f>P127</f>
        <v>0</v>
      </c>
      <c r="Q126" s="24">
        <f>Q127</f>
        <v>0</v>
      </c>
      <c r="R126" s="24">
        <f>R127</f>
        <v>0</v>
      </c>
      <c r="S126" s="24">
        <f>S127</f>
        <v>100000</v>
      </c>
      <c r="T126" s="24">
        <f t="shared" si="41"/>
        <v>240000</v>
      </c>
      <c r="U126" s="131">
        <f>U127</f>
        <v>240000</v>
      </c>
    </row>
    <row r="127" spans="1:21" ht="15.75">
      <c r="A127" s="40">
        <v>2</v>
      </c>
      <c r="B127" s="40">
        <v>3</v>
      </c>
      <c r="C127" s="45">
        <v>7</v>
      </c>
      <c r="D127" s="40">
        <v>1</v>
      </c>
      <c r="E127" s="40">
        <v>1</v>
      </c>
      <c r="F127" s="94" t="s">
        <v>90</v>
      </c>
      <c r="G127" s="32">
        <v>480000</v>
      </c>
      <c r="H127" s="31"/>
      <c r="I127" s="34"/>
      <c r="J127" s="60">
        <v>70000</v>
      </c>
      <c r="K127" s="34"/>
      <c r="L127" s="62"/>
      <c r="M127" s="34"/>
      <c r="N127" s="34"/>
      <c r="O127" s="34">
        <v>70000</v>
      </c>
      <c r="P127" s="34"/>
      <c r="Q127" s="34"/>
      <c r="R127" s="34"/>
      <c r="S127" s="34">
        <v>100000</v>
      </c>
      <c r="T127" s="34">
        <f>+I127+J127+K127+L127+M127+N127+O127+P127+Q127+R127+S127</f>
        <v>240000</v>
      </c>
      <c r="U127" s="129">
        <f>+G127-T127</f>
        <v>240000</v>
      </c>
    </row>
    <row r="128" spans="1:21" ht="15.75">
      <c r="A128" s="13"/>
      <c r="B128" s="13"/>
      <c r="C128" s="17"/>
      <c r="D128" s="13"/>
      <c r="E128" s="13"/>
      <c r="F128" s="94"/>
      <c r="G128" s="32"/>
      <c r="H128" s="32"/>
      <c r="I128" s="33"/>
      <c r="J128" s="59"/>
      <c r="K128" s="33"/>
      <c r="L128" s="78"/>
      <c r="M128" s="33"/>
      <c r="N128" s="33"/>
      <c r="O128" s="33"/>
      <c r="P128" s="33"/>
      <c r="Q128" s="33"/>
      <c r="R128" s="33"/>
      <c r="S128" s="33"/>
      <c r="T128" s="33"/>
      <c r="U128" s="128"/>
    </row>
    <row r="129" spans="1:21" ht="32.25" thickBot="1">
      <c r="A129" s="13">
        <v>2</v>
      </c>
      <c r="B129" s="13">
        <v>3</v>
      </c>
      <c r="C129" s="17">
        <v>9</v>
      </c>
      <c r="D129" s="13"/>
      <c r="E129" s="18"/>
      <c r="F129" s="92" t="s">
        <v>91</v>
      </c>
      <c r="G129" s="53">
        <f>SUM(G130:G134)</f>
        <v>413000</v>
      </c>
      <c r="H129" s="19">
        <f>SUM(H130:H134)</f>
        <v>0</v>
      </c>
      <c r="I129" s="20">
        <f>I130+I131+I132+I133+I134+I135</f>
        <v>23445.010000000002</v>
      </c>
      <c r="J129" s="57">
        <f t="shared" ref="J129:U129" si="42">J130+J131+J132+J133+J134+J135</f>
        <v>100394.68</v>
      </c>
      <c r="K129" s="20">
        <f t="shared" si="42"/>
        <v>206026.82</v>
      </c>
      <c r="L129" s="79">
        <f t="shared" si="42"/>
        <v>29976.03</v>
      </c>
      <c r="M129" s="20">
        <f t="shared" si="42"/>
        <v>800</v>
      </c>
      <c r="N129" s="20">
        <f t="shared" si="42"/>
        <v>11650.55</v>
      </c>
      <c r="O129" s="20">
        <f t="shared" si="42"/>
        <v>120200.81999999999</v>
      </c>
      <c r="P129" s="20">
        <f t="shared" si="42"/>
        <v>600</v>
      </c>
      <c r="Q129" s="20">
        <f t="shared" si="42"/>
        <v>9110.75</v>
      </c>
      <c r="R129" s="20">
        <f t="shared" si="42"/>
        <v>26243.4</v>
      </c>
      <c r="S129" s="20">
        <f t="shared" si="42"/>
        <v>19176.3</v>
      </c>
      <c r="T129" s="20">
        <f t="shared" si="42"/>
        <v>547624.35999999987</v>
      </c>
      <c r="U129" s="81">
        <f t="shared" si="42"/>
        <v>-134624.35999999993</v>
      </c>
    </row>
    <row r="130" spans="1:21" ht="15.75">
      <c r="A130" s="13">
        <v>2</v>
      </c>
      <c r="B130" s="13">
        <v>3</v>
      </c>
      <c r="C130" s="17">
        <v>9</v>
      </c>
      <c r="D130" s="13">
        <v>1</v>
      </c>
      <c r="E130" s="13"/>
      <c r="F130" s="94" t="s">
        <v>92</v>
      </c>
      <c r="G130" s="31">
        <v>8000</v>
      </c>
      <c r="H130" s="32"/>
      <c r="I130" s="33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33">
        <f>+I130+J130+K130+L130+M130+N130+O130+P130+Q130+R130+S130</f>
        <v>0</v>
      </c>
      <c r="U130" s="128">
        <f>+G130-T130</f>
        <v>8000</v>
      </c>
    </row>
    <row r="131" spans="1:21" ht="47.25">
      <c r="A131" s="13">
        <v>2</v>
      </c>
      <c r="B131" s="13">
        <v>3</v>
      </c>
      <c r="C131" s="17">
        <v>9</v>
      </c>
      <c r="D131" s="13">
        <v>2</v>
      </c>
      <c r="E131" s="13"/>
      <c r="F131" s="94" t="s">
        <v>93</v>
      </c>
      <c r="G131" s="32">
        <v>150000</v>
      </c>
      <c r="H131" s="32"/>
      <c r="I131" s="33">
        <f>1820+3150</f>
        <v>4970</v>
      </c>
      <c r="J131" s="33">
        <f>177+140+140+21661.68+74930</f>
        <v>97048.68</v>
      </c>
      <c r="K131" s="59">
        <f>198000+306.8+4576.32</f>
        <v>202883.12</v>
      </c>
      <c r="L131" s="59">
        <v>3406.8</v>
      </c>
      <c r="M131" s="59"/>
      <c r="N131" s="59">
        <f>5400+2211.6</f>
        <v>7611.6</v>
      </c>
      <c r="O131" s="59">
        <f>28033.37+32568</f>
        <v>60601.369999999995</v>
      </c>
      <c r="P131" s="146"/>
      <c r="Q131" s="59"/>
      <c r="R131" s="59"/>
      <c r="S131" s="59">
        <v>15531.3</v>
      </c>
      <c r="T131" s="135">
        <f>+I131+J131+K131+L131+M131+N131+O131+P131+Q131+R131+S131</f>
        <v>392052.86999999994</v>
      </c>
      <c r="U131" s="128">
        <f>+G131-T131</f>
        <v>-242052.86999999994</v>
      </c>
    </row>
    <row r="132" spans="1:21" ht="31.5">
      <c r="A132" s="13">
        <v>2</v>
      </c>
      <c r="B132" s="40">
        <v>3</v>
      </c>
      <c r="C132" s="40">
        <v>9</v>
      </c>
      <c r="D132" s="13">
        <v>5</v>
      </c>
      <c r="E132" s="13"/>
      <c r="F132" s="102" t="s">
        <v>94</v>
      </c>
      <c r="G132" s="32">
        <v>10000</v>
      </c>
      <c r="H132" s="32"/>
      <c r="I132" s="33">
        <f>14074+763.01</f>
        <v>14837.01</v>
      </c>
      <c r="J132" s="33">
        <v>2746</v>
      </c>
      <c r="K132" s="59">
        <f>258.95+1439.15+687.85+289.9</f>
        <v>2675.8500000000004</v>
      </c>
      <c r="L132" s="59">
        <f>25785.2+100+415.03+169</f>
        <v>26469.23</v>
      </c>
      <c r="M132" s="59"/>
      <c r="N132" s="59"/>
      <c r="O132" s="59">
        <v>16531.45</v>
      </c>
      <c r="P132" s="146"/>
      <c r="Q132" s="59">
        <f>258.95+2096.95</f>
        <v>2355.8999999999996</v>
      </c>
      <c r="R132" s="59">
        <f>21196.7+517.9</f>
        <v>21714.600000000002</v>
      </c>
      <c r="S132" s="59"/>
      <c r="T132" s="135">
        <f>+I132+J132+K132+L132+M132+N132+O132+P132+Q132+R132+S132</f>
        <v>87330.04</v>
      </c>
      <c r="U132" s="128">
        <f>+G132-T132</f>
        <v>-77330.039999999994</v>
      </c>
    </row>
    <row r="133" spans="1:21" ht="31.5">
      <c r="A133" s="13">
        <v>2</v>
      </c>
      <c r="B133" s="13">
        <v>3</v>
      </c>
      <c r="C133" s="17">
        <v>9</v>
      </c>
      <c r="D133" s="13">
        <v>8</v>
      </c>
      <c r="E133" s="13"/>
      <c r="F133" s="101" t="s">
        <v>95</v>
      </c>
      <c r="G133" s="32">
        <v>20000</v>
      </c>
      <c r="H133" s="32"/>
      <c r="I133" s="33"/>
      <c r="J133" s="33"/>
      <c r="K133" s="59"/>
      <c r="L133" s="59"/>
      <c r="M133" s="59"/>
      <c r="N133" s="59"/>
      <c r="O133" s="59">
        <v>42668</v>
      </c>
      <c r="P133" s="146"/>
      <c r="Q133" s="146"/>
      <c r="R133" s="146"/>
      <c r="S133" s="146"/>
      <c r="T133" s="135">
        <f>+I133+J133+K133+L133+M133+N133+O133+P133+Q133+R133+S133</f>
        <v>42668</v>
      </c>
      <c r="U133" s="128">
        <f>+G133-T133</f>
        <v>-22668</v>
      </c>
    </row>
    <row r="134" spans="1:21" ht="31.5">
      <c r="A134" s="13">
        <v>2</v>
      </c>
      <c r="B134" s="13">
        <v>3</v>
      </c>
      <c r="C134" s="17">
        <v>9</v>
      </c>
      <c r="D134" s="13">
        <v>9</v>
      </c>
      <c r="E134" s="13"/>
      <c r="F134" s="101" t="s">
        <v>96</v>
      </c>
      <c r="G134" s="32">
        <v>225000</v>
      </c>
      <c r="H134" s="32"/>
      <c r="I134" s="33">
        <v>3638</v>
      </c>
      <c r="J134" s="33">
        <v>600</v>
      </c>
      <c r="K134" s="59">
        <v>467.85</v>
      </c>
      <c r="L134" s="59">
        <v>100</v>
      </c>
      <c r="M134" s="59">
        <v>800</v>
      </c>
      <c r="N134" s="59">
        <f>985+579.95+1685+789</f>
        <v>4038.95</v>
      </c>
      <c r="O134" s="59">
        <f>300+100</f>
        <v>400</v>
      </c>
      <c r="P134" s="146">
        <v>600</v>
      </c>
      <c r="Q134" s="59">
        <f>1830+395+399.95+3979.9+50+100</f>
        <v>6754.85</v>
      </c>
      <c r="R134" s="59">
        <f>396+373.9+2800+888.9+70</f>
        <v>4528.8</v>
      </c>
      <c r="S134" s="59">
        <f>50+995+2600</f>
        <v>3645</v>
      </c>
      <c r="T134" s="135">
        <f>+I134+J134+K134+L134+M134+N134+O134+P134+Q134+R134+S134</f>
        <v>25573.45</v>
      </c>
      <c r="U134" s="128">
        <f>+G134-T134</f>
        <v>199426.55</v>
      </c>
    </row>
    <row r="135" spans="1:21" ht="15.75">
      <c r="A135" s="13">
        <v>2</v>
      </c>
      <c r="B135" s="13">
        <v>3</v>
      </c>
      <c r="C135" s="17">
        <v>9</v>
      </c>
      <c r="D135" s="13">
        <v>9</v>
      </c>
      <c r="E135" s="13">
        <v>2</v>
      </c>
      <c r="F135" s="101" t="s">
        <v>97</v>
      </c>
      <c r="G135" s="32"/>
      <c r="H135" s="32"/>
      <c r="I135" s="33">
        <v>0</v>
      </c>
      <c r="J135" s="33"/>
      <c r="K135" s="59"/>
      <c r="L135" s="59"/>
      <c r="M135" s="59"/>
      <c r="N135" s="59"/>
      <c r="O135" s="59"/>
      <c r="P135" s="59"/>
      <c r="Q135" s="59"/>
      <c r="R135" s="59"/>
      <c r="S135" s="59"/>
      <c r="T135" s="135">
        <f t="shared" ref="T135:T136" si="43">+I135+J135+K135+L135+M135+N135+O135+P135+Q135+R135</f>
        <v>0</v>
      </c>
      <c r="U135" s="128">
        <v>0</v>
      </c>
    </row>
    <row r="136" spans="1:21" ht="15.75">
      <c r="A136" s="13"/>
      <c r="B136" s="13"/>
      <c r="C136" s="17"/>
      <c r="D136" s="13"/>
      <c r="E136" s="13"/>
      <c r="F136" s="94"/>
      <c r="G136" s="32"/>
      <c r="H136" s="32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135">
        <f t="shared" si="43"/>
        <v>0</v>
      </c>
      <c r="U136" s="128"/>
    </row>
    <row r="137" spans="1:21" ht="48" thickBot="1">
      <c r="A137" s="13">
        <v>2</v>
      </c>
      <c r="B137" s="13">
        <v>6</v>
      </c>
      <c r="C137" s="17"/>
      <c r="D137" s="13"/>
      <c r="E137" s="18"/>
      <c r="F137" s="92" t="s">
        <v>98</v>
      </c>
      <c r="G137" s="26">
        <f>G138+G146+G150</f>
        <v>0</v>
      </c>
      <c r="H137" s="26">
        <f>H138+H146+H150</f>
        <v>760000</v>
      </c>
      <c r="I137" s="26">
        <f t="shared" ref="I137:S137" si="44">I138+I146+I150</f>
        <v>0</v>
      </c>
      <c r="J137" s="26">
        <f t="shared" si="44"/>
        <v>0</v>
      </c>
      <c r="K137" s="26">
        <f t="shared" si="44"/>
        <v>0</v>
      </c>
      <c r="L137" s="26">
        <f>L138+L146+L150</f>
        <v>15482.89</v>
      </c>
      <c r="M137" s="26">
        <f t="shared" si="44"/>
        <v>0</v>
      </c>
      <c r="N137" s="26">
        <f t="shared" si="44"/>
        <v>0</v>
      </c>
      <c r="O137" s="26">
        <f t="shared" si="44"/>
        <v>36723.96</v>
      </c>
      <c r="P137" s="26">
        <f t="shared" si="44"/>
        <v>0</v>
      </c>
      <c r="Q137" s="26">
        <f t="shared" si="44"/>
        <v>0</v>
      </c>
      <c r="R137" s="26">
        <f t="shared" si="44"/>
        <v>17570.2</v>
      </c>
      <c r="S137" s="26">
        <f t="shared" si="44"/>
        <v>0</v>
      </c>
      <c r="T137" s="26">
        <f>T138+T146+T150</f>
        <v>69777.049999999988</v>
      </c>
      <c r="U137" s="123">
        <f t="shared" ref="U137" si="45">U138+U146+U150+U139</f>
        <v>-15482.89</v>
      </c>
    </row>
    <row r="138" spans="1:21" ht="16.5" thickBot="1">
      <c r="A138" s="13">
        <v>2</v>
      </c>
      <c r="B138" s="13">
        <v>6</v>
      </c>
      <c r="C138" s="17">
        <v>1</v>
      </c>
      <c r="D138" s="13"/>
      <c r="E138" s="40"/>
      <c r="F138" s="93" t="s">
        <v>99</v>
      </c>
      <c r="G138" s="23">
        <f>G140+G141+G142+G144+G145</f>
        <v>0</v>
      </c>
      <c r="H138" s="23">
        <f>+H139+H140+H141+H142+H143+H144</f>
        <v>760000</v>
      </c>
      <c r="I138" s="23">
        <f t="shared" ref="I138:R138" si="46">+I139+I140+I141+I142+I143+I144</f>
        <v>0</v>
      </c>
      <c r="J138" s="23">
        <f t="shared" si="46"/>
        <v>0</v>
      </c>
      <c r="K138" s="23">
        <f t="shared" si="46"/>
        <v>0</v>
      </c>
      <c r="L138" s="23">
        <f t="shared" si="46"/>
        <v>15482.89</v>
      </c>
      <c r="M138" s="23">
        <f t="shared" si="46"/>
        <v>0</v>
      </c>
      <c r="N138" s="23">
        <f t="shared" si="46"/>
        <v>0</v>
      </c>
      <c r="O138" s="23">
        <f t="shared" si="46"/>
        <v>36723.96</v>
      </c>
      <c r="P138" s="23">
        <f t="shared" si="46"/>
        <v>0</v>
      </c>
      <c r="Q138" s="23">
        <f t="shared" si="46"/>
        <v>0</v>
      </c>
      <c r="R138" s="23">
        <f t="shared" si="46"/>
        <v>17570.2</v>
      </c>
      <c r="S138" s="23"/>
      <c r="T138" s="23">
        <f>+T139+T140+T141+T142+T143+T144</f>
        <v>69777.049999999988</v>
      </c>
      <c r="U138" s="77">
        <f t="shared" ref="I138:U139" si="47">U140+U141+U142+U144+U145</f>
        <v>0</v>
      </c>
    </row>
    <row r="139" spans="1:21" ht="16.5" thickBot="1">
      <c r="A139" s="13">
        <v>2</v>
      </c>
      <c r="B139" s="13">
        <v>6</v>
      </c>
      <c r="C139" s="17">
        <v>8</v>
      </c>
      <c r="D139" s="13">
        <v>8</v>
      </c>
      <c r="E139" s="40"/>
      <c r="F139" s="30" t="s">
        <v>134</v>
      </c>
      <c r="G139" s="32">
        <f>G141+G142+G143+G145+G146</f>
        <v>0</v>
      </c>
      <c r="H139" s="32">
        <v>760000</v>
      </c>
      <c r="I139" s="32">
        <f t="shared" si="47"/>
        <v>0</v>
      </c>
      <c r="J139" s="32">
        <f t="shared" si="47"/>
        <v>0</v>
      </c>
      <c r="K139" s="147"/>
      <c r="L139" s="148">
        <v>15482.89</v>
      </c>
      <c r="M139" s="140"/>
      <c r="N139" s="140"/>
      <c r="O139" s="140"/>
      <c r="P139" s="140"/>
      <c r="Q139" s="140"/>
      <c r="R139" s="140"/>
      <c r="S139" s="140"/>
      <c r="T139" s="140">
        <f>+I139+J139+K139+L139+M139+N139+O139+P139+Q139+R139+S139</f>
        <v>15482.89</v>
      </c>
      <c r="U139" s="77">
        <f>+G139-T139</f>
        <v>-15482.89</v>
      </c>
    </row>
    <row r="140" spans="1:21" ht="31.5">
      <c r="A140" s="13">
        <v>2</v>
      </c>
      <c r="B140" s="13">
        <v>6</v>
      </c>
      <c r="C140" s="17">
        <v>1</v>
      </c>
      <c r="D140" s="13">
        <v>1</v>
      </c>
      <c r="E140" s="40"/>
      <c r="F140" s="91" t="s">
        <v>100</v>
      </c>
      <c r="G140" s="32"/>
      <c r="H140" s="32"/>
      <c r="I140" s="33"/>
      <c r="J140" s="33"/>
      <c r="K140" s="59"/>
      <c r="L140" s="33"/>
      <c r="M140" s="33"/>
      <c r="N140" s="33"/>
      <c r="O140" s="33"/>
      <c r="P140" s="33"/>
      <c r="Q140" s="33"/>
      <c r="R140" s="33">
        <f>7965+9605.2</f>
        <v>17570.2</v>
      </c>
      <c r="S140" s="33"/>
      <c r="T140" s="33">
        <f>+I140+J140+K140+L140+M140+N140+O140+P140+Q140+R140+S140</f>
        <v>17570.2</v>
      </c>
      <c r="U140" s="129"/>
    </row>
    <row r="141" spans="1:21" ht="15.75">
      <c r="A141" s="13">
        <v>2</v>
      </c>
      <c r="B141" s="13">
        <v>6</v>
      </c>
      <c r="C141" s="17">
        <v>1</v>
      </c>
      <c r="D141" s="13">
        <v>4</v>
      </c>
      <c r="E141" s="40"/>
      <c r="F141" s="91" t="s">
        <v>101</v>
      </c>
      <c r="G141" s="32"/>
      <c r="H141" s="32"/>
      <c r="I141" s="33"/>
      <c r="J141" s="33"/>
      <c r="K141" s="59"/>
      <c r="L141" s="33"/>
      <c r="M141" s="33"/>
      <c r="N141" s="33"/>
      <c r="O141" s="33">
        <v>36723.96</v>
      </c>
      <c r="P141" s="33"/>
      <c r="Q141" s="33"/>
      <c r="R141" s="33"/>
      <c r="S141" s="33"/>
      <c r="T141" s="33">
        <f>+I141+J141+K141+L141+M141+N141+O141+P141+Q141+R141+S141</f>
        <v>36723.96</v>
      </c>
      <c r="U141" s="128"/>
    </row>
    <row r="142" spans="1:21" ht="15.75">
      <c r="A142" s="13">
        <v>2</v>
      </c>
      <c r="B142" s="13">
        <v>6</v>
      </c>
      <c r="C142" s="17">
        <v>1</v>
      </c>
      <c r="D142" s="13">
        <v>7</v>
      </c>
      <c r="E142" s="40"/>
      <c r="F142" s="91" t="s">
        <v>102</v>
      </c>
      <c r="G142" s="32"/>
      <c r="H142" s="32"/>
      <c r="I142" s="33">
        <v>0</v>
      </c>
      <c r="J142" s="33"/>
      <c r="K142" s="59"/>
      <c r="L142" s="33"/>
      <c r="M142" s="33"/>
      <c r="N142" s="33"/>
      <c r="O142" s="33"/>
      <c r="P142" s="33"/>
      <c r="Q142" s="33"/>
      <c r="R142" s="33"/>
      <c r="S142" s="33"/>
      <c r="T142" s="33">
        <f t="shared" ref="T142:T145" si="48">+I142+J142+K142+L142+M142+N142+O142+P142+Q142+R142+S142</f>
        <v>0</v>
      </c>
      <c r="U142" s="128">
        <v>0</v>
      </c>
    </row>
    <row r="143" spans="1:21" ht="15.75">
      <c r="A143" s="13">
        <v>2</v>
      </c>
      <c r="B143" s="13">
        <v>6</v>
      </c>
      <c r="C143" s="17">
        <v>1</v>
      </c>
      <c r="D143" s="13">
        <v>8</v>
      </c>
      <c r="E143" s="40"/>
      <c r="F143" s="91" t="s">
        <v>119</v>
      </c>
      <c r="G143" s="32"/>
      <c r="H143" s="32"/>
      <c r="I143" s="33"/>
      <c r="J143" s="33"/>
      <c r="K143" s="59"/>
      <c r="L143" s="33"/>
      <c r="M143" s="33"/>
      <c r="N143" s="33"/>
      <c r="O143" s="33"/>
      <c r="P143" s="33"/>
      <c r="Q143" s="33"/>
      <c r="R143" s="33"/>
      <c r="S143" s="33"/>
      <c r="T143" s="33">
        <f t="shared" si="48"/>
        <v>0</v>
      </c>
      <c r="U143" s="128"/>
    </row>
    <row r="144" spans="1:21" ht="47.25">
      <c r="A144" s="13">
        <v>2</v>
      </c>
      <c r="B144" s="13">
        <v>6</v>
      </c>
      <c r="C144" s="17">
        <v>1</v>
      </c>
      <c r="D144" s="13">
        <v>9</v>
      </c>
      <c r="E144" s="40"/>
      <c r="F144" s="91" t="s">
        <v>103</v>
      </c>
      <c r="G144" s="32"/>
      <c r="H144" s="32"/>
      <c r="I144" s="33"/>
      <c r="J144" s="33"/>
      <c r="K144" s="59"/>
      <c r="L144" s="33"/>
      <c r="M144" s="33"/>
      <c r="N144" s="33"/>
      <c r="O144" s="33"/>
      <c r="P144" s="33"/>
      <c r="Q144" s="33"/>
      <c r="R144" s="33"/>
      <c r="S144" s="33"/>
      <c r="T144" s="33">
        <f t="shared" si="48"/>
        <v>0</v>
      </c>
      <c r="U144" s="128"/>
    </row>
    <row r="145" spans="1:21" ht="15.75">
      <c r="A145" s="13"/>
      <c r="B145" s="13"/>
      <c r="C145" s="17"/>
      <c r="D145" s="13"/>
      <c r="E145" s="18"/>
      <c r="F145" s="93"/>
      <c r="G145" s="25"/>
      <c r="H145" s="25"/>
      <c r="I145" s="26"/>
      <c r="J145" s="26"/>
      <c r="K145" s="58"/>
      <c r="L145" s="26"/>
      <c r="M145" s="26"/>
      <c r="N145" s="26"/>
      <c r="O145" s="26"/>
      <c r="P145" s="26"/>
      <c r="Q145" s="26"/>
      <c r="R145" s="26"/>
      <c r="S145" s="26"/>
      <c r="T145" s="33">
        <f t="shared" si="48"/>
        <v>0</v>
      </c>
      <c r="U145" s="123">
        <f>+G145</f>
        <v>0</v>
      </c>
    </row>
    <row r="146" spans="1:21" ht="48" thickBot="1">
      <c r="A146" s="13">
        <v>2</v>
      </c>
      <c r="B146" s="13">
        <v>6</v>
      </c>
      <c r="C146" s="17">
        <v>2</v>
      </c>
      <c r="D146" s="13"/>
      <c r="E146" s="18"/>
      <c r="F146" s="93" t="s">
        <v>104</v>
      </c>
      <c r="G146" s="19">
        <f t="shared" ref="G146:U146" si="49">G147+G148</f>
        <v>0</v>
      </c>
      <c r="H146" s="19">
        <f t="shared" si="49"/>
        <v>0</v>
      </c>
      <c r="I146" s="37">
        <f t="shared" si="49"/>
        <v>0</v>
      </c>
      <c r="J146" s="37">
        <f t="shared" si="49"/>
        <v>0</v>
      </c>
      <c r="K146" s="84">
        <f t="shared" si="49"/>
        <v>0</v>
      </c>
      <c r="L146" s="37">
        <f t="shared" si="49"/>
        <v>0</v>
      </c>
      <c r="M146" s="37">
        <f t="shared" si="49"/>
        <v>0</v>
      </c>
      <c r="N146" s="37">
        <f t="shared" si="49"/>
        <v>0</v>
      </c>
      <c r="O146" s="37">
        <f t="shared" si="49"/>
        <v>0</v>
      </c>
      <c r="P146" s="37">
        <f t="shared" si="49"/>
        <v>0</v>
      </c>
      <c r="Q146" s="37">
        <f t="shared" si="49"/>
        <v>0</v>
      </c>
      <c r="R146" s="37">
        <f t="shared" si="49"/>
        <v>0</v>
      </c>
      <c r="S146" s="37">
        <f t="shared" si="49"/>
        <v>0</v>
      </c>
      <c r="T146" s="37">
        <f t="shared" si="49"/>
        <v>0</v>
      </c>
      <c r="U146" s="132">
        <f t="shared" si="49"/>
        <v>0</v>
      </c>
    </row>
    <row r="147" spans="1:21" ht="31.5">
      <c r="A147" s="13">
        <v>2</v>
      </c>
      <c r="B147" s="13">
        <v>6</v>
      </c>
      <c r="C147" s="17">
        <v>2</v>
      </c>
      <c r="D147" s="13">
        <v>1</v>
      </c>
      <c r="E147" s="40"/>
      <c r="F147" s="94" t="s">
        <v>105</v>
      </c>
      <c r="G147" s="32"/>
      <c r="H147" s="32"/>
      <c r="I147" s="33">
        <v>0</v>
      </c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>
        <f>+I147+J147+K147+L147+M147+N147+O147+P147+Q147+R147+S147</f>
        <v>0</v>
      </c>
      <c r="U147" s="128">
        <v>0</v>
      </c>
    </row>
    <row r="148" spans="1:21" ht="31.5">
      <c r="A148" s="13">
        <v>2</v>
      </c>
      <c r="B148" s="13">
        <v>6</v>
      </c>
      <c r="C148" s="17">
        <v>2</v>
      </c>
      <c r="D148" s="13">
        <v>3</v>
      </c>
      <c r="E148" s="40"/>
      <c r="F148" s="94" t="s">
        <v>106</v>
      </c>
      <c r="G148" s="32"/>
      <c r="H148" s="32"/>
      <c r="I148" s="33">
        <f>G148*12</f>
        <v>0</v>
      </c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>
        <f t="shared" ref="T148:T149" si="50">+I148+J148+K148+L148+M148+N148+O148+P148+Q148+R148+S148</f>
        <v>0</v>
      </c>
      <c r="U148" s="128">
        <f>+G148-T148</f>
        <v>0</v>
      </c>
    </row>
    <row r="149" spans="1:21" ht="15.75">
      <c r="A149" s="13"/>
      <c r="B149" s="13"/>
      <c r="C149" s="17"/>
      <c r="D149" s="13"/>
      <c r="E149" s="18"/>
      <c r="F149" s="92"/>
      <c r="G149" s="25"/>
      <c r="H149" s="25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33">
        <f t="shared" si="50"/>
        <v>0</v>
      </c>
      <c r="U149" s="123"/>
    </row>
    <row r="150" spans="1:21" ht="48" thickBot="1">
      <c r="A150" s="13">
        <v>2</v>
      </c>
      <c r="B150" s="13">
        <v>6</v>
      </c>
      <c r="C150" s="17">
        <v>4</v>
      </c>
      <c r="D150" s="13"/>
      <c r="E150" s="18"/>
      <c r="F150" s="92" t="s">
        <v>107</v>
      </c>
      <c r="G150" s="25">
        <f>G152+G153+G151</f>
        <v>0</v>
      </c>
      <c r="H150" s="25">
        <f>H152+H153+H151</f>
        <v>0</v>
      </c>
      <c r="I150" s="33">
        <f t="shared" ref="I150:U150" si="51">I151+I152</f>
        <v>0</v>
      </c>
      <c r="J150" s="33">
        <f t="shared" si="51"/>
        <v>0</v>
      </c>
      <c r="K150" s="33">
        <f t="shared" si="51"/>
        <v>0</v>
      </c>
      <c r="L150" s="33">
        <f t="shared" si="51"/>
        <v>0</v>
      </c>
      <c r="M150" s="33">
        <f t="shared" si="51"/>
        <v>0</v>
      </c>
      <c r="N150" s="33">
        <f t="shared" si="51"/>
        <v>0</v>
      </c>
      <c r="O150" s="33">
        <f t="shared" si="51"/>
        <v>0</v>
      </c>
      <c r="P150" s="33">
        <f t="shared" si="51"/>
        <v>0</v>
      </c>
      <c r="Q150" s="33">
        <f t="shared" si="51"/>
        <v>0</v>
      </c>
      <c r="R150" s="33">
        <f t="shared" si="51"/>
        <v>0</v>
      </c>
      <c r="S150" s="33">
        <f t="shared" si="51"/>
        <v>0</v>
      </c>
      <c r="T150" s="33">
        <f t="shared" si="51"/>
        <v>0</v>
      </c>
      <c r="U150" s="128">
        <f t="shared" si="51"/>
        <v>0</v>
      </c>
    </row>
    <row r="151" spans="1:21" ht="47.25">
      <c r="A151" s="13">
        <v>2</v>
      </c>
      <c r="B151" s="13">
        <v>6</v>
      </c>
      <c r="C151" s="17">
        <v>4</v>
      </c>
      <c r="D151" s="13"/>
      <c r="E151" s="18"/>
      <c r="F151" s="91" t="s">
        <v>107</v>
      </c>
      <c r="G151" s="41"/>
      <c r="H151" s="41"/>
      <c r="I151" s="34">
        <v>0</v>
      </c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>
        <f>+I151+J151+K151+L151+M151+N151+O151+P151+Q151+R151+S151</f>
        <v>0</v>
      </c>
      <c r="U151" s="129">
        <v>0</v>
      </c>
    </row>
    <row r="152" spans="1:21" ht="31.5">
      <c r="A152" s="13">
        <v>2</v>
      </c>
      <c r="B152" s="13">
        <v>6</v>
      </c>
      <c r="C152" s="17">
        <v>4</v>
      </c>
      <c r="D152" s="13">
        <v>1</v>
      </c>
      <c r="E152" s="13"/>
      <c r="F152" s="91" t="s">
        <v>114</v>
      </c>
      <c r="G152" s="32"/>
      <c r="H152" s="32"/>
      <c r="I152" s="33">
        <v>0</v>
      </c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>
        <f>+I152+J152+K152</f>
        <v>0</v>
      </c>
      <c r="U152" s="128">
        <v>0</v>
      </c>
    </row>
    <row r="153" spans="1:21" ht="15.75">
      <c r="A153" s="13">
        <v>2</v>
      </c>
      <c r="B153" s="13">
        <v>6</v>
      </c>
      <c r="C153" s="17">
        <v>4</v>
      </c>
      <c r="D153" s="13">
        <v>7</v>
      </c>
      <c r="E153" s="13"/>
      <c r="F153" s="91" t="s">
        <v>108</v>
      </c>
      <c r="G153" s="32">
        <v>0</v>
      </c>
      <c r="H153" s="32"/>
      <c r="I153" s="33">
        <v>0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>
        <f>+J153</f>
        <v>0</v>
      </c>
      <c r="U153" s="128">
        <v>0</v>
      </c>
    </row>
    <row r="154" spans="1:21" ht="16.5" thickBot="1">
      <c r="A154" s="13"/>
      <c r="B154" s="13"/>
      <c r="C154" s="17"/>
      <c r="D154" s="12"/>
      <c r="E154" s="13"/>
      <c r="F154" s="91"/>
      <c r="G154" s="35"/>
      <c r="H154" s="35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128"/>
    </row>
    <row r="155" spans="1:21" ht="16.5" thickBot="1">
      <c r="A155" s="46"/>
      <c r="B155" s="46"/>
      <c r="C155" s="47"/>
      <c r="D155" s="48"/>
      <c r="E155" s="48"/>
      <c r="F155" s="149" t="s">
        <v>109</v>
      </c>
      <c r="G155" s="19">
        <f>G111+G49+G13</f>
        <v>35039168</v>
      </c>
      <c r="H155" s="19">
        <f t="shared" ref="H155:T155" si="52">H111+H49+H13</f>
        <v>7135833</v>
      </c>
      <c r="I155" s="19">
        <f t="shared" si="52"/>
        <v>2386243.1800000002</v>
      </c>
      <c r="J155" s="19">
        <f t="shared" si="52"/>
        <v>3062383.18</v>
      </c>
      <c r="K155" s="19">
        <f t="shared" si="52"/>
        <v>2564734.8000000003</v>
      </c>
      <c r="L155" s="19">
        <f t="shared" si="52"/>
        <v>2281173.9300000002</v>
      </c>
      <c r="M155" s="19">
        <f t="shared" si="52"/>
        <v>2756891.2700000005</v>
      </c>
      <c r="N155" s="19">
        <f t="shared" si="52"/>
        <v>2317116.64</v>
      </c>
      <c r="O155" s="19">
        <f t="shared" si="52"/>
        <v>2658351.29</v>
      </c>
      <c r="P155" s="19">
        <f t="shared" si="52"/>
        <v>2373884.6900000004</v>
      </c>
      <c r="Q155" s="19">
        <f>Q111+Q49+Q13</f>
        <v>2771264.15</v>
      </c>
      <c r="R155" s="19">
        <f>R111+R49+R13</f>
        <v>3749440.66</v>
      </c>
      <c r="S155" s="19">
        <f>S111+S49+S13</f>
        <v>2874202.6300000004</v>
      </c>
      <c r="T155" s="19">
        <f t="shared" si="52"/>
        <v>29795686.420000002</v>
      </c>
      <c r="U155" s="138">
        <f>U111+U49+U13+U137</f>
        <v>5387389.0300000012</v>
      </c>
    </row>
    <row r="156" spans="1:21" ht="15.75">
      <c r="A156" s="49"/>
      <c r="B156" s="49"/>
      <c r="C156" s="6"/>
      <c r="D156" s="6"/>
      <c r="E156" s="6"/>
      <c r="F156" s="6"/>
      <c r="G156" s="29"/>
      <c r="H156" s="2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29"/>
      <c r="U156" s="69"/>
    </row>
    <row r="157" spans="1:21" ht="18">
      <c r="A157" s="49"/>
      <c r="B157" s="49"/>
      <c r="C157" s="6"/>
      <c r="D157" s="6"/>
      <c r="E157" s="51"/>
      <c r="F157" s="55"/>
      <c r="G157" s="29"/>
      <c r="H157" s="29"/>
      <c r="I157" s="150"/>
      <c r="J157" s="103"/>
      <c r="K157" s="150"/>
      <c r="L157" s="150"/>
      <c r="M157" s="150"/>
      <c r="N157" s="151"/>
      <c r="O157" s="151"/>
      <c r="P157" s="151"/>
      <c r="Q157" s="151"/>
      <c r="R157" s="151"/>
      <c r="S157" s="151"/>
      <c r="T157" s="152"/>
      <c r="U157" s="71"/>
    </row>
    <row r="158" spans="1:21" ht="18">
      <c r="A158" s="49"/>
      <c r="B158" s="49"/>
      <c r="C158" s="6"/>
      <c r="D158" s="6"/>
      <c r="E158" s="52"/>
      <c r="F158" s="65"/>
      <c r="G158" s="105"/>
      <c r="H158" s="105"/>
      <c r="I158" s="106"/>
      <c r="J158" s="106"/>
      <c r="K158" s="106"/>
      <c r="L158" s="106"/>
      <c r="M158" s="106"/>
      <c r="N158" s="153"/>
      <c r="O158" s="153"/>
      <c r="P158" s="153"/>
      <c r="Q158" s="153"/>
      <c r="R158" s="153"/>
      <c r="S158" s="153"/>
      <c r="T158" s="154"/>
      <c r="U158" s="72"/>
    </row>
    <row r="159" spans="1:21" ht="18.75" thickBot="1">
      <c r="A159" s="69"/>
      <c r="B159" s="69"/>
      <c r="C159" s="69"/>
      <c r="D159" s="69"/>
      <c r="E159" s="69"/>
      <c r="F159" s="65"/>
      <c r="G159" s="73"/>
      <c r="H159" s="73"/>
      <c r="I159" s="73"/>
      <c r="J159" s="73"/>
      <c r="K159" s="107"/>
      <c r="L159" s="107"/>
      <c r="M159" s="107"/>
      <c r="N159" s="155"/>
      <c r="O159" s="155"/>
      <c r="P159" s="155"/>
      <c r="Q159" s="155"/>
      <c r="R159" s="155"/>
      <c r="S159" s="155"/>
      <c r="T159" s="156"/>
      <c r="U159" s="73"/>
    </row>
    <row r="160" spans="1:21" ht="18">
      <c r="A160" s="69"/>
      <c r="B160" s="69"/>
      <c r="C160" s="69"/>
      <c r="D160" s="69"/>
      <c r="E160" s="69"/>
      <c r="F160" s="157" t="s">
        <v>118</v>
      </c>
      <c r="G160" s="73"/>
      <c r="H160" s="73"/>
      <c r="I160" s="73"/>
      <c r="J160" s="73"/>
      <c r="K160" s="107"/>
      <c r="L160" s="73"/>
      <c r="M160" s="73"/>
      <c r="N160" s="158"/>
      <c r="O160" s="158"/>
      <c r="P160" s="158"/>
      <c r="Q160" s="158"/>
      <c r="R160" s="158"/>
      <c r="S160" s="158"/>
      <c r="T160" s="154"/>
      <c r="U160" s="65"/>
    </row>
    <row r="161" spans="1:21" ht="18">
      <c r="A161" s="69"/>
      <c r="B161" s="69"/>
      <c r="C161" s="69"/>
      <c r="D161" s="69"/>
      <c r="E161" s="69"/>
      <c r="F161" s="65" t="s">
        <v>117</v>
      </c>
      <c r="G161" s="75"/>
      <c r="H161" s="73"/>
      <c r="I161" s="73"/>
      <c r="J161" s="73"/>
      <c r="K161" s="107"/>
      <c r="L161" s="73"/>
      <c r="M161" s="73"/>
      <c r="N161" s="158"/>
      <c r="O161" s="158"/>
      <c r="P161" s="158"/>
      <c r="Q161" s="158"/>
      <c r="R161" s="158"/>
      <c r="S161" s="158"/>
      <c r="T161" s="154"/>
      <c r="U161" s="65"/>
    </row>
    <row r="162" spans="1:21" ht="18">
      <c r="A162" s="69"/>
      <c r="B162" s="69"/>
      <c r="C162" s="69"/>
      <c r="D162" s="69"/>
      <c r="E162" s="69"/>
      <c r="F162" s="65"/>
      <c r="G162" s="73"/>
      <c r="H162" s="73"/>
      <c r="I162" s="73"/>
      <c r="J162" s="73"/>
      <c r="K162" s="107"/>
      <c r="L162" s="73"/>
      <c r="M162" s="73"/>
      <c r="N162" s="158"/>
      <c r="O162" s="158"/>
      <c r="P162" s="158"/>
      <c r="Q162" s="158"/>
      <c r="R162" s="158"/>
      <c r="S162" s="158"/>
      <c r="T162" s="154"/>
      <c r="U162" s="65"/>
    </row>
    <row r="163" spans="1:21" ht="18">
      <c r="A163" s="69"/>
      <c r="B163" s="69"/>
      <c r="C163" s="69"/>
      <c r="D163" s="69"/>
      <c r="E163" s="69"/>
      <c r="F163" s="65"/>
      <c r="G163" s="75"/>
      <c r="H163" s="75"/>
      <c r="I163" s="90"/>
      <c r="J163" s="90"/>
      <c r="K163" s="90"/>
      <c r="L163" s="73"/>
      <c r="M163" s="73"/>
      <c r="N163" s="73"/>
      <c r="O163" s="73"/>
      <c r="P163" s="73"/>
      <c r="Q163" s="73"/>
      <c r="R163" s="73"/>
      <c r="S163" s="73"/>
      <c r="T163" s="80"/>
      <c r="U163" s="86"/>
    </row>
    <row r="164" spans="1:21" ht="18">
      <c r="A164" s="69"/>
      <c r="B164" s="69"/>
      <c r="C164" s="69"/>
      <c r="D164" s="69"/>
      <c r="E164" s="69"/>
      <c r="F164" s="65"/>
      <c r="G164" s="76"/>
      <c r="H164" s="76"/>
      <c r="I164" s="90"/>
      <c r="J164" s="90"/>
      <c r="K164" s="159"/>
      <c r="L164" s="159"/>
      <c r="M164" s="159"/>
      <c r="N164" s="159"/>
      <c r="O164" s="159"/>
      <c r="P164" s="159"/>
      <c r="Q164" s="159"/>
      <c r="R164" s="159"/>
      <c r="S164" s="159"/>
      <c r="T164" s="73"/>
      <c r="U164" s="72"/>
    </row>
    <row r="165" spans="1:21" ht="18">
      <c r="A165" s="69"/>
      <c r="B165" s="69"/>
      <c r="C165" s="69"/>
      <c r="D165" s="69"/>
      <c r="E165" s="69"/>
      <c r="F165" s="65"/>
      <c r="G165" s="76"/>
      <c r="H165" s="76"/>
      <c r="I165" s="90"/>
      <c r="J165" s="90"/>
      <c r="K165" s="159"/>
      <c r="L165" s="159"/>
      <c r="M165" s="159"/>
      <c r="N165" s="159"/>
      <c r="O165" s="159"/>
      <c r="P165" s="159"/>
      <c r="Q165" s="159"/>
      <c r="R165" s="159"/>
      <c r="S165" s="159"/>
      <c r="T165" s="73"/>
      <c r="U165" s="72"/>
    </row>
    <row r="166" spans="1:21" ht="18">
      <c r="A166" s="69"/>
      <c r="B166" s="69"/>
      <c r="C166" s="69"/>
      <c r="D166" s="69"/>
      <c r="E166" s="69"/>
      <c r="F166" s="65"/>
      <c r="G166" s="104"/>
      <c r="H166" s="104"/>
      <c r="I166" s="161"/>
      <c r="J166" s="161"/>
      <c r="K166" s="162"/>
      <c r="L166" s="162"/>
      <c r="M166" s="162"/>
      <c r="N166" s="162"/>
      <c r="O166" s="162"/>
      <c r="P166" s="162"/>
      <c r="Q166" s="162"/>
      <c r="R166" s="162"/>
      <c r="S166" s="162"/>
      <c r="T166" s="87"/>
      <c r="U166" s="88"/>
    </row>
    <row r="167" spans="1:21" ht="18">
      <c r="A167" s="69"/>
      <c r="B167" s="69"/>
      <c r="C167" s="69"/>
      <c r="D167" s="69"/>
      <c r="E167" s="69"/>
      <c r="F167" s="65"/>
      <c r="G167" s="104"/>
      <c r="H167" s="104"/>
      <c r="I167" s="161"/>
      <c r="J167" s="161"/>
      <c r="K167" s="162"/>
      <c r="L167" s="162"/>
      <c r="M167" s="162"/>
      <c r="N167" s="162"/>
      <c r="O167" s="162"/>
      <c r="P167" s="162"/>
      <c r="Q167" s="162"/>
      <c r="R167" s="162"/>
      <c r="S167" s="162"/>
      <c r="T167" s="87"/>
      <c r="U167" s="88"/>
    </row>
    <row r="168" spans="1:21" ht="18">
      <c r="A168" s="69"/>
      <c r="B168" s="69"/>
      <c r="C168" s="69"/>
      <c r="D168" s="69"/>
      <c r="E168" s="69"/>
      <c r="F168" s="65"/>
      <c r="G168" s="104"/>
      <c r="H168" s="104"/>
      <c r="I168" s="161"/>
      <c r="J168" s="161"/>
      <c r="K168" s="162"/>
      <c r="L168" s="162"/>
      <c r="M168" s="162"/>
      <c r="N168" s="162"/>
      <c r="O168" s="162"/>
      <c r="P168" s="162"/>
      <c r="Q168" s="162"/>
      <c r="R168" s="162"/>
      <c r="S168" s="162"/>
      <c r="T168" s="87"/>
      <c r="U168" s="88"/>
    </row>
    <row r="169" spans="1:21" ht="18.75" thickBot="1">
      <c r="A169" s="69"/>
      <c r="B169" s="69"/>
      <c r="C169" s="69"/>
      <c r="D169" s="69"/>
      <c r="E169" s="69"/>
      <c r="F169" s="74"/>
      <c r="G169" s="163"/>
      <c r="H169" s="163"/>
      <c r="I169" s="90"/>
      <c r="J169" s="89"/>
      <c r="K169" s="90"/>
      <c r="L169" s="87"/>
      <c r="M169" s="87"/>
      <c r="N169" s="87"/>
      <c r="O169" s="87"/>
      <c r="P169" s="87"/>
      <c r="Q169" s="87"/>
      <c r="R169" s="87"/>
      <c r="S169" s="87"/>
      <c r="T169" s="80"/>
      <c r="U169" s="87"/>
    </row>
    <row r="170" spans="1:21" ht="18">
      <c r="A170" s="69"/>
      <c r="B170" s="69"/>
      <c r="C170" s="69"/>
      <c r="D170" s="69"/>
      <c r="E170" s="69"/>
      <c r="F170" s="65" t="s">
        <v>135</v>
      </c>
      <c r="G170" s="65"/>
      <c r="H170" s="65"/>
      <c r="I170" s="89"/>
      <c r="J170" s="89"/>
      <c r="K170" s="89"/>
      <c r="L170" s="90"/>
      <c r="M170" s="164"/>
      <c r="N170" s="164"/>
      <c r="O170" s="164"/>
      <c r="P170" s="164"/>
      <c r="Q170" s="164"/>
      <c r="R170" s="164"/>
      <c r="S170" s="164"/>
      <c r="T170" s="89"/>
      <c r="U170" s="90"/>
    </row>
    <row r="171" spans="1:21" ht="18">
      <c r="A171" s="69"/>
      <c r="B171" s="69"/>
      <c r="C171" s="69"/>
      <c r="D171" s="69"/>
      <c r="E171" s="69"/>
      <c r="F171" s="65" t="s">
        <v>136</v>
      </c>
      <c r="G171" s="65"/>
      <c r="H171" s="65"/>
      <c r="I171" s="89"/>
      <c r="J171" s="89"/>
      <c r="K171" s="89"/>
      <c r="L171" s="90"/>
      <c r="M171" s="164"/>
      <c r="N171" s="164"/>
      <c r="O171" s="164"/>
      <c r="P171" s="164"/>
      <c r="Q171" s="164"/>
      <c r="R171" s="164"/>
      <c r="S171" s="164"/>
      <c r="T171" s="89"/>
      <c r="U171" s="90"/>
    </row>
    <row r="172" spans="1:21" ht="18">
      <c r="A172" s="69"/>
      <c r="B172" s="69"/>
      <c r="C172" s="69"/>
      <c r="D172" s="72"/>
      <c r="E172" s="69"/>
      <c r="F172" s="65"/>
      <c r="G172" s="72"/>
      <c r="H172" s="72"/>
      <c r="I172" s="89"/>
      <c r="J172" s="89"/>
      <c r="K172" s="90"/>
      <c r="L172" s="90"/>
      <c r="M172" s="90"/>
      <c r="N172" s="90"/>
      <c r="O172" s="90"/>
      <c r="P172" s="90"/>
      <c r="Q172" s="90"/>
      <c r="R172" s="90"/>
      <c r="S172" s="90"/>
      <c r="T172" s="89"/>
      <c r="U172" s="90"/>
    </row>
    <row r="173" spans="1:21" ht="15.75">
      <c r="A173" s="69"/>
      <c r="B173" s="69"/>
      <c r="C173" s="69"/>
      <c r="D173" s="69"/>
      <c r="E173" s="69"/>
      <c r="F173" s="49"/>
      <c r="G173" s="69"/>
      <c r="H173" s="69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83"/>
      <c r="U173" s="83"/>
    </row>
    <row r="174" spans="1:21" ht="15.75">
      <c r="A174" s="69"/>
      <c r="B174" s="69"/>
      <c r="C174" s="69"/>
      <c r="D174" s="69"/>
      <c r="E174" s="69"/>
      <c r="F174" s="49"/>
      <c r="G174" s="69"/>
      <c r="H174" s="69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83"/>
      <c r="U174" s="83"/>
    </row>
    <row r="175" spans="1:21">
      <c r="A175" s="69"/>
      <c r="B175" s="69"/>
      <c r="C175" s="69"/>
      <c r="D175" s="69"/>
      <c r="E175" s="69"/>
      <c r="G175" s="69"/>
      <c r="H175" s="69"/>
      <c r="I175" s="70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83"/>
      <c r="U175" s="83"/>
    </row>
    <row r="176" spans="1:21"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2"/>
      <c r="U176" s="82"/>
    </row>
    <row r="177" spans="6:21" ht="18.75" thickBot="1">
      <c r="F177" s="74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160"/>
      <c r="U177" s="82"/>
    </row>
    <row r="178" spans="6:21" ht="18">
      <c r="F178" s="65" t="s">
        <v>137</v>
      </c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2"/>
      <c r="U178" s="82"/>
    </row>
    <row r="179" spans="6:21" ht="18">
      <c r="F179" s="65" t="s">
        <v>138</v>
      </c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  <c r="T179" s="82"/>
      <c r="U179" s="82"/>
    </row>
    <row r="180" spans="6:21" ht="18">
      <c r="F180" s="65"/>
      <c r="J180" s="85"/>
      <c r="K180" s="165"/>
      <c r="L180" s="165"/>
      <c r="M180" s="165"/>
      <c r="N180" s="165"/>
      <c r="O180" s="165"/>
      <c r="P180" s="165"/>
      <c r="Q180" s="165"/>
      <c r="R180" s="165"/>
      <c r="S180" s="165"/>
      <c r="T180" s="82"/>
      <c r="U180" s="82"/>
    </row>
    <row r="181" spans="6:21"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2"/>
      <c r="U181" s="82"/>
    </row>
    <row r="182" spans="6:21"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2"/>
      <c r="U182" s="82"/>
    </row>
    <row r="183" spans="6:21"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2"/>
      <c r="U183" s="82"/>
    </row>
    <row r="184" spans="6:21"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2"/>
      <c r="U184" s="82"/>
    </row>
    <row r="185" spans="6:21"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2"/>
      <c r="U185" s="82"/>
    </row>
    <row r="186" spans="6:21"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2"/>
      <c r="U186" s="82"/>
    </row>
    <row r="187" spans="6:21"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2"/>
      <c r="U187" s="82"/>
    </row>
    <row r="188" spans="6:21"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2"/>
      <c r="U188" s="82"/>
    </row>
    <row r="189" spans="6:21"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2"/>
      <c r="U189" s="82"/>
    </row>
    <row r="190" spans="6:21"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2"/>
      <c r="U190" s="82"/>
    </row>
    <row r="191" spans="6:21"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2"/>
      <c r="U191" s="82"/>
    </row>
    <row r="192" spans="6:21"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2"/>
      <c r="U192" s="82"/>
    </row>
    <row r="193" spans="10:21"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2"/>
      <c r="U193" s="82"/>
    </row>
    <row r="194" spans="10:21"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2"/>
      <c r="U194" s="82"/>
    </row>
    <row r="195" spans="10:21"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2"/>
      <c r="U195" s="82"/>
    </row>
    <row r="196" spans="10:21"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2"/>
      <c r="U196" s="82"/>
    </row>
    <row r="197" spans="10:21"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2"/>
      <c r="U197" s="82"/>
    </row>
    <row r="198" spans="10:21"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2"/>
      <c r="U198" s="82"/>
    </row>
    <row r="199" spans="10:21"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2"/>
      <c r="U199" s="82"/>
    </row>
    <row r="200" spans="10:21"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2"/>
      <c r="U200" s="82"/>
    </row>
    <row r="201" spans="10:21"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2"/>
      <c r="U201" s="82"/>
    </row>
    <row r="202" spans="10:21"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2"/>
      <c r="U202" s="82"/>
    </row>
    <row r="203" spans="10:21"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2"/>
      <c r="U203" s="82"/>
    </row>
    <row r="204" spans="10:21"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2"/>
      <c r="U204" s="82"/>
    </row>
    <row r="205" spans="10:21"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2"/>
      <c r="U205" s="82"/>
    </row>
    <row r="206" spans="10:21"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2"/>
      <c r="U206" s="82"/>
    </row>
    <row r="207" spans="10:21"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2"/>
      <c r="U207" s="82"/>
    </row>
    <row r="208" spans="10:21"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2"/>
      <c r="U208" s="82"/>
    </row>
    <row r="209" spans="10:21"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2"/>
      <c r="U209" s="82"/>
    </row>
    <row r="210" spans="10:21"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2"/>
      <c r="U210" s="82"/>
    </row>
    <row r="211" spans="10:21"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2"/>
      <c r="U211" s="82"/>
    </row>
    <row r="212" spans="10:21"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2"/>
      <c r="U212" s="82"/>
    </row>
    <row r="213" spans="10:21"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2"/>
      <c r="U213" s="82"/>
    </row>
    <row r="214" spans="10:21"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2"/>
      <c r="U214" s="82"/>
    </row>
    <row r="215" spans="10:21"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2"/>
      <c r="U215" s="82"/>
    </row>
    <row r="216" spans="10:21"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2"/>
      <c r="U216" s="82"/>
    </row>
    <row r="217" spans="10:21"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2"/>
      <c r="U217" s="82"/>
    </row>
    <row r="218" spans="10:21"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2"/>
      <c r="U218" s="82"/>
    </row>
    <row r="219" spans="10:21"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2"/>
      <c r="U219" s="82"/>
    </row>
    <row r="220" spans="10:21"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2"/>
      <c r="U220" s="82"/>
    </row>
    <row r="221" spans="10:21"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2"/>
      <c r="U221" s="82"/>
    </row>
    <row r="222" spans="10:21"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2"/>
      <c r="U222" s="82"/>
    </row>
    <row r="223" spans="10:21"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2"/>
      <c r="U223" s="82"/>
    </row>
    <row r="224" spans="10:21"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2"/>
      <c r="U224" s="82"/>
    </row>
    <row r="225" spans="10:21"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2"/>
      <c r="U225" s="82"/>
    </row>
    <row r="226" spans="10:21"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2"/>
      <c r="U226" s="82"/>
    </row>
    <row r="227" spans="10:21"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2"/>
      <c r="U227" s="82"/>
    </row>
    <row r="228" spans="10:21"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2"/>
      <c r="U228" s="82"/>
    </row>
    <row r="229" spans="10:21"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2"/>
      <c r="U229" s="82"/>
    </row>
    <row r="230" spans="10:21"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2"/>
      <c r="U230" s="82"/>
    </row>
    <row r="231" spans="10:21"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2"/>
      <c r="U231" s="82"/>
    </row>
    <row r="232" spans="10:21"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2"/>
      <c r="U232" s="82"/>
    </row>
    <row r="233" spans="10:21"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2"/>
      <c r="U233" s="82"/>
    </row>
    <row r="234" spans="10:21"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2"/>
      <c r="U234" s="82"/>
    </row>
    <row r="235" spans="10:21"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2"/>
      <c r="U235" s="82"/>
    </row>
    <row r="236" spans="10:21"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2"/>
      <c r="U236" s="82"/>
    </row>
    <row r="237" spans="10:21"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2"/>
      <c r="U237" s="82"/>
    </row>
    <row r="238" spans="10:21"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2"/>
      <c r="U238" s="82"/>
    </row>
    <row r="239" spans="10:21"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2"/>
      <c r="U239" s="82"/>
    </row>
    <row r="240" spans="10:21"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2"/>
      <c r="U240" s="82"/>
    </row>
    <row r="241" spans="10:21"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2"/>
      <c r="U241" s="82"/>
    </row>
    <row r="242" spans="10:21"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2"/>
      <c r="U242" s="82"/>
    </row>
    <row r="243" spans="10:21"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2"/>
      <c r="U243" s="82"/>
    </row>
    <row r="244" spans="10:21"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2"/>
      <c r="U244" s="82"/>
    </row>
    <row r="245" spans="10:21"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2"/>
      <c r="U245" s="82"/>
    </row>
    <row r="246" spans="10:21"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2"/>
      <c r="U246" s="82"/>
    </row>
    <row r="247" spans="10:21"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2"/>
      <c r="U247" s="82"/>
    </row>
    <row r="248" spans="10:21"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2"/>
      <c r="U248" s="82"/>
    </row>
    <row r="249" spans="10:21"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2"/>
      <c r="U249" s="82"/>
    </row>
    <row r="250" spans="10:21"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2"/>
      <c r="U250" s="82"/>
    </row>
    <row r="251" spans="10:21"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2"/>
      <c r="U251" s="82"/>
    </row>
  </sheetData>
  <mergeCells count="4">
    <mergeCell ref="A9:E9"/>
    <mergeCell ref="A5:T5"/>
    <mergeCell ref="A6:T6"/>
    <mergeCell ref="A7:T7"/>
  </mergeCells>
  <phoneticPr fontId="15" type="noConversion"/>
  <pageMargins left="0.11811023622047245" right="0.11811023622047245" top="0.74803149606299213" bottom="0.74803149606299213" header="0.31496062992125984" footer="0.31496062992125984"/>
  <pageSetup paperSize="5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2023</vt:lpstr>
      <vt:lpstr>'NOVIEMBRE 2023'!Área_de_impresión</vt:lpstr>
      <vt:lpstr>'NOVIEMBRE 2023'!Títulos_a_imprimir</vt:lpstr>
    </vt:vector>
  </TitlesOfParts>
  <Company>PUCMM - CSTA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eacevedo@ces.gob.do</cp:lastModifiedBy>
  <cp:lastPrinted>2022-11-01T15:48:07Z</cp:lastPrinted>
  <dcterms:created xsi:type="dcterms:W3CDTF">2019-09-09T17:15:41Z</dcterms:created>
  <dcterms:modified xsi:type="dcterms:W3CDTF">2023-12-15T15:40:43Z</dcterms:modified>
</cp:coreProperties>
</file>